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75" windowWidth="11340" windowHeight="2835" tabRatio="79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  <sheet name="Лист1" sheetId="9" state="hidden" r:id="rId9"/>
  </sheets>
  <externalReferences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nm.Print_Titles" localSheetId="2">'Приложение 4 '!$9:$9</definedName>
    <definedName name="_xlnm.Print_Area" localSheetId="8">'Лист1'!$A$1:$V$108</definedName>
    <definedName name="_xlnm.Print_Area" localSheetId="0">'Приложение 2'!$A$1:$I$29</definedName>
    <definedName name="_xlnm.Print_Area" localSheetId="1">'Приложение 3'!$A$1:$K$149</definedName>
    <definedName name="_xlnm.Print_Area" localSheetId="2">'Приложение 4 '!$A$1:$F$190</definedName>
    <definedName name="_xlnm.Print_Area" localSheetId="3">'Приложение 5 '!$A$1:$D$40</definedName>
    <definedName name="_xlnm.Print_Area" localSheetId="6">'Приложение 8'!$A$1:$K$31</definedName>
    <definedName name="_xlnm.Print_Area" localSheetId="7">'Приложение 9'!$A$1:$H$31</definedName>
  </definedNames>
  <calcPr fullCalcOnLoad="1"/>
</workbook>
</file>

<file path=xl/sharedStrings.xml><?xml version="1.0" encoding="utf-8"?>
<sst xmlns="http://schemas.openxmlformats.org/spreadsheetml/2006/main" count="1011" uniqueCount="339">
  <si>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</si>
  <si>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</si>
  <si>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</si>
  <si>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</si>
  <si>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</si>
  <si>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</si>
  <si>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</si>
  <si>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</si>
  <si>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</si>
  <si>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</si>
  <si>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</si>
  <si>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</si>
  <si>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</si>
  <si>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</si>
  <si>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</si>
  <si>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</si>
  <si>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</si>
  <si>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</si>
  <si>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</si>
  <si>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</si>
  <si>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</si>
  <si>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</si>
  <si>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</si>
  <si>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</si>
  <si>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</si>
  <si>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</si>
  <si>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</si>
  <si>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</si>
  <si>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</si>
  <si>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</si>
  <si>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</si>
  <si>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</si>
  <si>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</si>
  <si>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</si>
  <si>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</si>
  <si>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</si>
  <si>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</si>
  <si>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</si>
  <si>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</si>
  <si>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</si>
  <si>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</si>
  <si>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</si>
  <si>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</si>
  <si>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</si>
  <si>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</si>
  <si>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</si>
  <si>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</si>
  <si>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</si>
  <si>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</si>
  <si>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</si>
  <si>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</si>
  <si>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</si>
  <si>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</si>
  <si>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</si>
  <si>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</si>
  <si>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</si>
  <si>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</si>
  <si>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</si>
  <si>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</si>
  <si>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</si>
  <si>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</si>
  <si>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</si>
  <si>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</si>
  <si>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</si>
  <si>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</si>
  <si>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</si>
  <si>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</si>
  <si>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</si>
  <si>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</si>
  <si>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</si>
  <si>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</si>
  <si>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</si>
  <si>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</si>
  <si>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</si>
  <si>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</si>
  <si>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</si>
  <si>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</si>
  <si>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</si>
  <si>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</si>
  <si>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</si>
  <si>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</si>
  <si>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</si>
  <si>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</si>
  <si>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</si>
  <si>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</si>
  <si>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</si>
  <si>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</si>
  <si>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</si>
  <si>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</si>
  <si>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</si>
  <si>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</si>
  <si>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</si>
  <si>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</si>
  <si>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</si>
  <si>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</si>
  <si>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</si>
  <si>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</si>
  <si>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</si>
  <si>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</si>
  <si>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</si>
  <si>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</si>
  <si>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</si>
  <si>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</si>
  <si>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</si>
  <si>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</si>
  <si>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</si>
  <si>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</si>
  <si>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</si>
  <si>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</si>
  <si>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</si>
  <si>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</si>
  <si>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</si>
  <si>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</si>
  <si>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</si>
  <si>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</si>
  <si>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</si>
  <si>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</si>
  <si>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</si>
  <si>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</si>
  <si>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</si>
  <si>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</si>
  <si>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</si>
  <si>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</si>
  <si>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</si>
  <si>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</si>
  <si>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</si>
  <si>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</si>
  <si>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</si>
  <si>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</si>
  <si>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</si>
  <si>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</si>
  <si>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</si>
  <si>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</si>
  <si>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</si>
  <si>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</si>
  <si>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</si>
  <si>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</si>
  <si>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</si>
  <si>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</si>
  <si>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</si>
  <si>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</si>
  <si>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</si>
  <si>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</si>
  <si>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</si>
  <si>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</si>
  <si>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</si>
  <si>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</si>
  <si>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</si>
  <si>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</si>
  <si>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</si>
  <si>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</si>
  <si>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</si>
  <si>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</si>
  <si>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</si>
  <si>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</si>
  <si>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</si>
  <si>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</si>
  <si>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</si>
  <si>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</si>
  <si>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</si>
  <si>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</si>
  <si>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</si>
  <si>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</si>
  <si>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</si>
  <si>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</si>
  <si>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</si>
  <si>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</si>
  <si>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</si>
  <si>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</si>
  <si>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</si>
  <si>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</si>
  <si>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</si>
  <si>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</si>
  <si>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</si>
  <si>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</si>
  <si>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</si>
  <si>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</si>
  <si>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 xml:space="preserve">строительство воздушных линий 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</si>
  <si>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</si>
  <si>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</si>
  <si>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</si>
  <si>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</si>
  <si>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</si>
  <si>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</si>
  <si>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</si>
  <si>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</si>
  <si>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</si>
  <si>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</si>
  <si>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</si>
  <si>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</si>
  <si>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</si>
  <si>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</si>
  <si>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</si>
  <si>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</si>
  <si>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</si>
  <si>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</si>
  <si>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</si>
  <si>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</si>
  <si>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</si>
  <si>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</si>
  <si>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</si>
  <si>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</si>
  <si>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</si>
  <si>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Приложение 13.2 к приказу / Приложение № 2</t>
  </si>
  <si>
    <t>Приложение 13.3 к приказу / Приложение № 3</t>
  </si>
  <si>
    <t>Приложения 13.4 к приказу / Приложение № 4</t>
  </si>
  <si>
    <t>Приложения 13.5 к приказу / Приложение № 5</t>
  </si>
  <si>
    <t>Приложения 13.6 к приказу / Приложение № 6</t>
  </si>
  <si>
    <t>Приложения 13.7 к приказу / Приложение № 7</t>
  </si>
  <si>
    <t>Приложения 13.8 к приказу / Приложение № 8</t>
  </si>
  <si>
    <t>Приложения 13.9 к приказу / Приложение № 9</t>
  </si>
  <si>
    <t>на 2018 год</t>
  </si>
  <si>
    <t>С 01 октября 2017г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плату за технологическое присоединение не включаются расходы, связанные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</si>
  <si>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гр.1</t>
  </si>
  <si>
    <t>гр.2</t>
  </si>
  <si>
    <t>гр.3</t>
  </si>
  <si>
    <t>гр.4</t>
  </si>
  <si>
    <t>гр.5</t>
  </si>
  <si>
    <t>Подготовка и выдача сетевой организацией технических условий Заявителю (ТУ)</t>
  </si>
  <si>
    <t>до 15 кВт включительно                                        (не льготная категория заявителей)</t>
  </si>
  <si>
    <t>по временной схеме**</t>
  </si>
  <si>
    <t>Разработка сетевой организацией проектной документации по строительству "последней мили"***</t>
  </si>
  <si>
    <t>Выполнение сетевой организацией мероприятий, связанных со строительством "последней мили", всего в т.ч.: ***</t>
  </si>
  <si>
    <t>строительство комплексных трансформаторных подстанций (КТП), распределительных трансформаторных подстанций (РТП) с классом напряжения до 35 кВ</t>
  </si>
  <si>
    <t>строительство центров питания, подстанций классом напряжения 35 кВ и выше (ПС)</t>
  </si>
  <si>
    <t>до 15 кВт включительно                                         (не льготная категория заявителей)</t>
  </si>
  <si>
    <t>Проверка сетевой организацией выполнения заявителем ТУ</t>
  </si>
  <si>
    <t>4.1.</t>
  </si>
  <si>
    <t>4.2.</t>
  </si>
  <si>
    <t>Участие в осмотре должностным лицом Ростехнадзора присоединяемых Устройств заявителя</t>
  </si>
  <si>
    <t>5.1.</t>
  </si>
  <si>
    <t>5.2.</t>
  </si>
  <si>
    <t>Фактические действия по присоединению и обеспечению работы Устройств в электрической сети</t>
  </si>
  <si>
    <t>6.1.</t>
  </si>
  <si>
    <t>6.2.</t>
  </si>
  <si>
    <t>В связи с эквивалентностью трудозатрат ставки платы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мощностии, по постоянной схеме присоединения и по временной одинаковые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</si>
  <si>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</t>
  </si>
  <si>
    <t>РАСЧЕТ
необходимой валовой выручки на технологическое присоединение
 филиала ПАО "МРСК Юга" - "Астраханьэнерго"</t>
  </si>
  <si>
    <t>филиала ПАО "МРСК Юга" - "Астраханьэнерго" на 2018 год</t>
  </si>
  <si>
    <t>Филиал Публичного акционерного общества "Межрегиональная распределительная сетевая компания юга" - "Астраханьэнерго"</t>
  </si>
  <si>
    <t>Филиал ПАО "МРСК Юга" - "Астраханьэнерго"</t>
  </si>
  <si>
    <t>г. Астрахань, ул. Красная Набережная, д.32</t>
  </si>
  <si>
    <t>kanc@ae.mrsk-yuga.ru</t>
  </si>
  <si>
    <t xml:space="preserve">Натхо Инвер Юсуфович - заместитель генерального директора - директор филиала ПАО "МРСК Юга" - "Астраханьэнерго"    
</t>
  </si>
  <si>
    <t>(8512) 79-32-19 
Михайлова Наталья Владимировна - начальник отдела тарифообразования</t>
  </si>
  <si>
    <t>(8512) 44-55-78</t>
  </si>
  <si>
    <t xml:space="preserve">Анализ производства и стандартизированных ставок по ТП </t>
  </si>
  <si>
    <t>ВЛ</t>
  </si>
  <si>
    <t>КЛ</t>
  </si>
  <si>
    <t>ПС</t>
  </si>
  <si>
    <t>КТП</t>
  </si>
  <si>
    <t>СМР 2 кв. 2017</t>
  </si>
  <si>
    <t>Протяженность (для линий электропередач), км</t>
  </si>
  <si>
    <t>Пропускная способность, кВт</t>
  </si>
  <si>
    <t>Расходы на строительство объекта, тыс.руб.</t>
  </si>
  <si>
    <t>Ставки, утвержденные на 2017г. (переведены в цены 2017 г. СМР 2 кв. 2017г.)</t>
  </si>
  <si>
    <t>Ставки, заявляемые на 2018г. (переведены в цены 2018 г. СМР 2 кв. 2017г.)</t>
  </si>
  <si>
    <t>ПРОЧИЕ</t>
  </si>
  <si>
    <t>Средняя протяженность (для линий электропередач), км</t>
  </si>
  <si>
    <t>Средняя пропускная способность, кВт</t>
  </si>
  <si>
    <t>Средние расходы на строительство объекта, тыс.руб.</t>
  </si>
  <si>
    <t>СТС С2-С3 в  руб./км; СТС С4-С6 в руб./кВт</t>
  </si>
  <si>
    <t>СП С2-С6 руб./кВт</t>
  </si>
  <si>
    <t xml:space="preserve">Льготники </t>
  </si>
  <si>
    <t>ИТОГО</t>
  </si>
  <si>
    <r>
      <t xml:space="preserve">Сечение провода  от 25 до 50 мм </t>
    </r>
    <r>
      <rPr>
        <sz val="8"/>
        <rFont val="Times New Roman"/>
        <family val="1"/>
      </rPr>
      <t>2</t>
    </r>
  </si>
  <si>
    <r>
      <t xml:space="preserve">Сечение провода  от 50 до 75 мм </t>
    </r>
    <r>
      <rPr>
        <sz val="8"/>
        <rFont val="Times New Roman"/>
        <family val="1"/>
      </rPr>
      <t>2</t>
    </r>
  </si>
  <si>
    <r>
      <t xml:space="preserve">Сечение провода  от 75 до 100 мм </t>
    </r>
    <r>
      <rPr>
        <sz val="8"/>
        <rFont val="Times New Roman"/>
        <family val="1"/>
      </rPr>
      <t>2</t>
    </r>
  </si>
  <si>
    <r>
      <t xml:space="preserve">Сечение провода  от 100 до 200 мм </t>
    </r>
    <r>
      <rPr>
        <sz val="8"/>
        <rFont val="Times New Roman"/>
        <family val="1"/>
      </rPr>
      <t>2</t>
    </r>
  </si>
  <si>
    <r>
      <t xml:space="preserve">Сечение провода  свыше 200 мм </t>
    </r>
    <r>
      <rPr>
        <sz val="8"/>
        <rFont val="Times New Roman"/>
        <family val="1"/>
      </rPr>
      <t>2</t>
    </r>
  </si>
  <si>
    <t>Трансформаторная мощность до 25 кВА включительно</t>
  </si>
  <si>
    <t>от 25 до 100 кВА включительно</t>
  </si>
  <si>
    <t>от 100 до 250 кВА включительно</t>
  </si>
  <si>
    <t>от 250 до 500 кВА</t>
  </si>
  <si>
    <t>от 500 до 900 кВА включительно</t>
  </si>
  <si>
    <t xml:space="preserve">свыше 1 000 кВА </t>
  </si>
  <si>
    <t>Ставки, утвержденные на 2017г.</t>
  </si>
  <si>
    <t>Ставочники</t>
  </si>
  <si>
    <t>до 15 кВт</t>
  </si>
  <si>
    <t>НН</t>
  </si>
  <si>
    <t>от 15 до 150 кВт</t>
  </si>
  <si>
    <t>СН</t>
  </si>
  <si>
    <t>от 150 до 670 кВт</t>
  </si>
  <si>
    <t>Сечение провода от 100 до 200 мм 2</t>
  </si>
  <si>
    <t>Сечение провода свыше 200 мм 2</t>
  </si>
  <si>
    <t>свыше 670 кВт</t>
  </si>
  <si>
    <t>Сечение провода  от 75 до 100 мм 2</t>
  </si>
  <si>
    <t xml:space="preserve"> от 250 до 500 кВА включительно</t>
  </si>
  <si>
    <t>нет ставки</t>
  </si>
  <si>
    <t>от 100 до 250 кВА</t>
  </si>
  <si>
    <t xml:space="preserve"> от 25 до 100 кВА включительно</t>
  </si>
  <si>
    <t xml:space="preserve">свыше 900 кВА </t>
  </si>
  <si>
    <t xml:space="preserve">от 500 до 900 кВА </t>
  </si>
  <si>
    <t xml:space="preserve">свыше 1000 кВА </t>
  </si>
  <si>
    <t>материал провода - медные жилы (один кабель в траншее)</t>
  </si>
  <si>
    <t>материал провода - медные жилы (два кабеля в траншее)</t>
  </si>
  <si>
    <t>материал провода - алюминиевые жилы (один кабель в траншее)</t>
  </si>
  <si>
    <t>материал провода - алюминиевые жилы (один кабель в траншее) при восстановлении дорожного полотна</t>
  </si>
  <si>
    <t>материал провода - алюминиевые жилы (один кабель в траншее) при восстановлении покрытия (без бордюра) на всю ширину дорог</t>
  </si>
  <si>
    <t>материал провода - алюминиевые жилы (один кабель в траншее) при использовании метода горизонтально-направленного бурения</t>
  </si>
  <si>
    <t>материал провода - алюминиевые жилы (один кабель в траншее) при восстановлении дорожного полотна и покрытия (без бордюра) на всю ширину дорог</t>
  </si>
  <si>
    <t>материал провода - алюминиевые жилы (один кабель в траншее) при восстановлении покрытия (без бордюра) на всю ширину дорог с использованием метода горизонтально-направленного бурения</t>
  </si>
  <si>
    <t>материал провода - алюминиевые жилы (два кабеля в траншее)</t>
  </si>
  <si>
    <t xml:space="preserve">материал провода - алюминиевые жилы (один кабель в траншее) при восстановлении покрытия (без бордюра) на всю ширину дорог </t>
  </si>
  <si>
    <t>материал провода - алюминиевые жилы (два кабеля в траншее) при восстановлении дорожного полотна</t>
  </si>
  <si>
    <t>материал провода - алюминиевые жилы (два кабеля в траншее) при восстановлении покрытия (без бордюра) на всю ширину дорог</t>
  </si>
  <si>
    <t>материал провода - алюминиевые жилы (два кабеля в траншее) при использовании метода горизонтально-направленного бурения</t>
  </si>
  <si>
    <t>материал провода - алюминиевые жилы (два кабеля в траншее) при восстановлении дорожного полотна и покрытия (без бордюра) на всю ширину дорог</t>
  </si>
  <si>
    <t>материал провода - алюминиевые жилы (два кабеля в траншее) при восстановлении покрытия (без бордюра) на всю ширину дорог с использованием метода горизонтально-направленного бурения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</si>
  <si>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"Астраханьэнерго"</t>
  </si>
  <si>
    <t>Данные представлены оперативно на 01.09.2017г.</t>
  </si>
  <si>
    <t>Стандартизированная тарифная ставка платы для присоединения заявителей от 15 до 150 кВт включительно (не льготники)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</si>
  <si>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</si>
  <si>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</si>
  <si>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</si>
  <si>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 (не льготники)</t>
    </r>
  </si>
  <si>
    <t>Начальник управления экономики и тарифообразования</t>
  </si>
  <si>
    <t>________________________________</t>
  </si>
  <si>
    <t>Е.Н. Панкрашова</t>
  </si>
  <si>
    <t>Начальник управления технологического присоединения</t>
  </si>
  <si>
    <t>А.Н. Михайлова</t>
  </si>
  <si>
    <t>Начальник управления экономики
и тарифообразования</t>
  </si>
  <si>
    <t>Начальник управления
технологического присоединения</t>
  </si>
  <si>
    <t>Разбивка НВВ по каждому мероприятию, (руб.)*</t>
  </si>
  <si>
    <t>Объем максимальной мощности, (кВт)</t>
  </si>
  <si>
    <t>Ставки для расчета платы по каждому мероприятию, (руб./ кВт)</t>
  </si>
  <si>
    <t>до 15 кВт включительно                                        ( льготная категория заявителей), шт</t>
  </si>
  <si>
    <t>до 15 кВт (льготная категория заявителей)</t>
  </si>
  <si>
    <t xml:space="preserve">от 15 до 150 кВт        
(не льготная категория заявителей)                                    </t>
  </si>
  <si>
    <t>до 15 кВт включительно                                    (не льготная категория заявителей)</t>
  </si>
  <si>
    <t xml:space="preserve">от 15 до 150 кВт        
(не льготная категория заявителей)                     </t>
  </si>
  <si>
    <t xml:space="preserve">(не льготная категория заявителей)   </t>
  </si>
  <si>
    <t>Приложение № 6</t>
  </si>
  <si>
    <t>Заместитель директора по экономике и финансам</t>
  </si>
  <si>
    <t>И.Б. Анашкина</t>
  </si>
  <si>
    <t>Заместитель директора по развитию и реализации услуг</t>
  </si>
  <si>
    <t>С.Н. Плужник</t>
  </si>
  <si>
    <t>Заместитель директора по инвестиционной деятельности</t>
  </si>
  <si>
    <t>С.Г. Епифанов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</si>
</sst>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00_$_-;\-* #,##0.000_$_-;_-* &quot;-&quot;??_$_-;_-@_-"/>
  </numFmts>
  <fonts count="8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6"/>
      <name val="Arial Cyr"/>
      <family val="0"/>
    </font>
    <font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6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sz val="18"/>
      <color rgb="FFFF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1" fillId="0" borderId="9" applyNumberFormat="0" applyFill="0" applyAlignment="0" applyProtection="0"/>
    <xf numFmtId="0" fontId="10" fillId="0" borderId="0">
      <alignment/>
      <protection/>
    </xf>
    <xf numFmtId="0" fontId="7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0" fontId="73" fillId="31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2">
      <alignment/>
      <protection/>
    </xf>
    <xf numFmtId="0" fontId="6" fillId="0" borderId="0" xfId="62" applyFill="1">
      <alignment/>
      <protection/>
    </xf>
    <xf numFmtId="0" fontId="2" fillId="0" borderId="0" xfId="0" applyFont="1" applyFill="1" applyBorder="1" applyAlignment="1">
      <alignment horizontal="center"/>
    </xf>
    <xf numFmtId="0" fontId="14" fillId="0" borderId="0" xfId="63" applyFont="1" applyAlignment="1">
      <alignment/>
      <protection/>
    </xf>
    <xf numFmtId="0" fontId="14" fillId="0" borderId="0" xfId="63" applyFont="1" applyAlignment="1">
      <alignment horizontal="center"/>
      <protection/>
    </xf>
    <xf numFmtId="0" fontId="6" fillId="0" borderId="0" xfId="62" applyAlignment="1">
      <alignment horizontal="center" vertical="center"/>
      <protection/>
    </xf>
    <xf numFmtId="0" fontId="15" fillId="0" borderId="0" xfId="62" applyFont="1">
      <alignment/>
      <protection/>
    </xf>
    <xf numFmtId="0" fontId="19" fillId="0" borderId="0" xfId="0" applyFont="1" applyBorder="1" applyAlignment="1">
      <alignment horizontal="center" wrapText="1"/>
    </xf>
    <xf numFmtId="0" fontId="14" fillId="0" borderId="0" xfId="63" applyFont="1" applyAlignment="1">
      <alignment horizontal="center" vertical="center" wrapText="1"/>
      <protection/>
    </xf>
    <xf numFmtId="0" fontId="6" fillId="0" borderId="0" xfId="62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3" applyNumberFormat="1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49" fontId="3" fillId="0" borderId="11" xfId="63" applyNumberFormat="1" applyFont="1" applyFill="1" applyBorder="1" applyAlignment="1">
      <alignment horizontal="center" vertical="center"/>
      <protection/>
    </xf>
    <xf numFmtId="49" fontId="3" fillId="0" borderId="12" xfId="6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12" xfId="63" applyFont="1" applyBorder="1" applyAlignment="1">
      <alignment horizontal="left" wrapText="1"/>
      <protection/>
    </xf>
    <xf numFmtId="0" fontId="4" fillId="0" borderId="10" xfId="63" applyFont="1" applyBorder="1" applyAlignment="1">
      <alignment horizontal="left" wrapText="1"/>
      <protection/>
    </xf>
    <xf numFmtId="0" fontId="4" fillId="0" borderId="10" xfId="63" applyFont="1" applyBorder="1" applyAlignment="1">
      <alignment vertical="justify" wrapText="1"/>
      <protection/>
    </xf>
    <xf numFmtId="49" fontId="4" fillId="0" borderId="10" xfId="63" applyNumberFormat="1" applyFont="1" applyBorder="1" applyAlignment="1">
      <alignment horizontal="left" wrapText="1"/>
      <protection/>
    </xf>
    <xf numFmtId="0" fontId="3" fillId="0" borderId="10" xfId="63" applyFont="1" applyBorder="1" applyAlignment="1">
      <alignment horizontal="left" wrapText="1"/>
      <protection/>
    </xf>
    <xf numFmtId="0" fontId="3" fillId="0" borderId="11" xfId="63" applyFont="1" applyBorder="1" applyAlignment="1">
      <alignment horizontal="lef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61" applyFont="1" applyFill="1" applyAlignment="1">
      <alignment horizontal="right" vertical="center" wrapText="1"/>
      <protection/>
    </xf>
    <xf numFmtId="3" fontId="1" fillId="32" borderId="20" xfId="0" applyNumberFormat="1" applyFont="1" applyFill="1" applyBorder="1" applyAlignment="1">
      <alignment horizontal="center" vertical="center" wrapText="1"/>
    </xf>
    <xf numFmtId="0" fontId="5" fillId="0" borderId="0" xfId="61" applyFont="1" applyFill="1" applyAlignment="1">
      <alignment vertical="center" wrapText="1"/>
      <protection/>
    </xf>
    <xf numFmtId="0" fontId="5" fillId="0" borderId="0" xfId="63" applyFont="1" applyAlignment="1">
      <alignment horizontal="right"/>
      <protection/>
    </xf>
    <xf numFmtId="4" fontId="2" fillId="32" borderId="13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23" xfId="63" applyNumberFormat="1" applyFont="1" applyBorder="1" applyAlignment="1">
      <alignment horizontal="center"/>
      <protection/>
    </xf>
    <xf numFmtId="0" fontId="4" fillId="0" borderId="23" xfId="63" applyFont="1" applyBorder="1" applyAlignment="1">
      <alignment horizontal="left" wrapText="1"/>
      <protection/>
    </xf>
    <xf numFmtId="0" fontId="16" fillId="0" borderId="0" xfId="61" applyFont="1" applyFill="1" applyAlignment="1">
      <alignment vertical="center" wrapText="1"/>
      <protection/>
    </xf>
    <xf numFmtId="0" fontId="2" fillId="0" borderId="0" xfId="62" applyFont="1" applyAlignment="1">
      <alignment horizontal="right" vertical="top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62" applyFont="1" applyAlignment="1">
      <alignment horizontal="left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3" fontId="1" fillId="32" borderId="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2" fillId="32" borderId="24" xfId="0" applyNumberFormat="1" applyFont="1" applyFill="1" applyBorder="1" applyAlignment="1">
      <alignment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3" fontId="1" fillId="32" borderId="26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3" fontId="1" fillId="32" borderId="29" xfId="0" applyNumberFormat="1" applyFont="1" applyFill="1" applyBorder="1" applyAlignment="1">
      <alignment horizontal="center" vertical="center" wrapText="1"/>
    </xf>
    <xf numFmtId="3" fontId="1" fillId="32" borderId="30" xfId="0" applyNumberFormat="1" applyFont="1" applyFill="1" applyBorder="1" applyAlignment="1">
      <alignment horizontal="center" vertical="center" wrapText="1"/>
    </xf>
    <xf numFmtId="3" fontId="1" fillId="32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0" xfId="62" applyAlignment="1">
      <alignment horizontal="right"/>
      <protection/>
    </xf>
    <xf numFmtId="0" fontId="0" fillId="0" borderId="0" xfId="0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6" fillId="0" borderId="0" xfId="62" applyFont="1" applyAlignment="1">
      <alignment horizontal="center" vertical="center"/>
      <protection/>
    </xf>
    <xf numFmtId="0" fontId="16" fillId="0" borderId="0" xfId="62" applyFont="1" applyAlignment="1">
      <alignment horizontal="right" vertical="top"/>
      <protection/>
    </xf>
    <xf numFmtId="0" fontId="16" fillId="0" borderId="0" xfId="62" applyFont="1" applyAlignment="1">
      <alignment horizontal="right" vertical="center"/>
      <protection/>
    </xf>
    <xf numFmtId="49" fontId="24" fillId="32" borderId="0" xfId="0" applyNumberFormat="1" applyFont="1" applyFill="1" applyAlignment="1">
      <alignment/>
    </xf>
    <xf numFmtId="0" fontId="11" fillId="32" borderId="0" xfId="0" applyFont="1" applyFill="1" applyBorder="1" applyAlignment="1">
      <alignment horizontal="left"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5" fontId="5" fillId="32" borderId="31" xfId="77" applyNumberFormat="1" applyFont="1" applyFill="1" applyBorder="1" applyAlignment="1">
      <alignment horizontal="center" vertical="center" wrapText="1"/>
    </xf>
    <xf numFmtId="175" fontId="5" fillId="32" borderId="31" xfId="77" applyFont="1" applyFill="1" applyBorder="1" applyAlignment="1">
      <alignment horizontal="center" vertical="center" wrapText="1"/>
    </xf>
    <xf numFmtId="195" fontId="3" fillId="32" borderId="31" xfId="77" applyNumberFormat="1" applyFont="1" applyFill="1" applyBorder="1" applyAlignment="1">
      <alignment horizontal="center" vertical="center" wrapText="1"/>
    </xf>
    <xf numFmtId="169" fontId="3" fillId="32" borderId="32" xfId="63" applyNumberFormat="1" applyFont="1" applyFill="1" applyBorder="1" applyAlignment="1">
      <alignment horizontal="center" vertical="center"/>
      <protection/>
    </xf>
    <xf numFmtId="169" fontId="3" fillId="32" borderId="11" xfId="63" applyNumberFormat="1" applyFont="1" applyFill="1" applyBorder="1" applyAlignment="1">
      <alignment horizontal="center" vertical="center"/>
      <protection/>
    </xf>
    <xf numFmtId="175" fontId="5" fillId="32" borderId="10" xfId="77" applyNumberFormat="1" applyFont="1" applyFill="1" applyBorder="1" applyAlignment="1">
      <alignment horizontal="center" vertical="center" wrapText="1"/>
    </xf>
    <xf numFmtId="175" fontId="74" fillId="32" borderId="10" xfId="77" applyNumberFormat="1" applyFont="1" applyFill="1" applyBorder="1" applyAlignment="1">
      <alignment horizontal="center" vertical="center" wrapText="1"/>
    </xf>
    <xf numFmtId="182" fontId="5" fillId="32" borderId="31" xfId="77" applyNumberFormat="1" applyFont="1" applyFill="1" applyBorder="1" applyAlignment="1">
      <alignment horizontal="center" vertical="center" wrapText="1"/>
    </xf>
    <xf numFmtId="175" fontId="5" fillId="32" borderId="33" xfId="74" applyFont="1" applyFill="1" applyBorder="1" applyAlignment="1">
      <alignment horizontal="center" vertical="center" wrapText="1"/>
    </xf>
    <xf numFmtId="175" fontId="5" fillId="32" borderId="10" xfId="74" applyFont="1" applyFill="1" applyBorder="1" applyAlignment="1">
      <alignment horizontal="center" vertical="center" wrapText="1"/>
    </xf>
    <xf numFmtId="169" fontId="3" fillId="32" borderId="34" xfId="63" applyNumberFormat="1" applyFont="1" applyFill="1" applyBorder="1" applyAlignment="1">
      <alignment horizontal="center" vertical="center"/>
      <protection/>
    </xf>
    <xf numFmtId="169" fontId="3" fillId="32" borderId="12" xfId="63" applyNumberFormat="1" applyFont="1" applyFill="1" applyBorder="1" applyAlignment="1">
      <alignment horizontal="center" vertical="center"/>
      <protection/>
    </xf>
    <xf numFmtId="169" fontId="3" fillId="32" borderId="35" xfId="63" applyNumberFormat="1" applyFont="1" applyFill="1" applyBorder="1" applyAlignment="1">
      <alignment horizontal="center" vertical="center"/>
      <protection/>
    </xf>
    <xf numFmtId="169" fontId="3" fillId="32" borderId="23" xfId="63" applyNumberFormat="1" applyFont="1" applyFill="1" applyBorder="1" applyAlignment="1">
      <alignment horizontal="center" vertical="center"/>
      <protection/>
    </xf>
    <xf numFmtId="169" fontId="4" fillId="32" borderId="33" xfId="63" applyNumberFormat="1" applyFont="1" applyFill="1" applyBorder="1" applyAlignment="1">
      <alignment horizontal="center" vertical="center"/>
      <protection/>
    </xf>
    <xf numFmtId="169" fontId="4" fillId="32" borderId="31" xfId="63" applyNumberFormat="1" applyFont="1" applyFill="1" applyBorder="1" applyAlignment="1">
      <alignment horizontal="center" vertical="center"/>
      <protection/>
    </xf>
    <xf numFmtId="195" fontId="4" fillId="32" borderId="10" xfId="63" applyNumberFormat="1" applyFont="1" applyFill="1" applyBorder="1" applyAlignment="1">
      <alignment horizontal="center" vertical="center"/>
      <protection/>
    </xf>
    <xf numFmtId="195" fontId="3" fillId="32" borderId="10" xfId="63" applyNumberFormat="1" applyFont="1" applyFill="1" applyBorder="1" applyAlignment="1">
      <alignment horizontal="center" vertical="center"/>
      <protection/>
    </xf>
    <xf numFmtId="0" fontId="75" fillId="0" borderId="0" xfId="0" applyFont="1" applyAlignment="1">
      <alignment wrapText="1"/>
    </xf>
    <xf numFmtId="4" fontId="76" fillId="0" borderId="13" xfId="55" applyNumberFormat="1" applyFont="1" applyBorder="1">
      <alignment/>
      <protection/>
    </xf>
    <xf numFmtId="4" fontId="76" fillId="0" borderId="13" xfId="0" applyNumberFormat="1" applyFont="1" applyBorder="1" applyAlignment="1">
      <alignment/>
    </xf>
    <xf numFmtId="0" fontId="77" fillId="0" borderId="13" xfId="0" applyFont="1" applyBorder="1" applyAlignment="1">
      <alignment vertical="center"/>
    </xf>
    <xf numFmtId="0" fontId="26" fillId="0" borderId="13" xfId="55" applyFont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0" fontId="27" fillId="0" borderId="13" xfId="55" applyFont="1" applyBorder="1" applyAlignment="1">
      <alignment horizontal="center" vertical="center"/>
      <protection/>
    </xf>
    <xf numFmtId="0" fontId="78" fillId="0" borderId="13" xfId="55" applyFont="1" applyBorder="1" applyAlignment="1">
      <alignment horizontal="center" vertical="top" wrapText="1"/>
      <protection/>
    </xf>
    <xf numFmtId="0" fontId="78" fillId="33" borderId="13" xfId="55" applyFont="1" applyFill="1" applyBorder="1" applyAlignment="1">
      <alignment horizontal="center" vertical="top" wrapText="1"/>
      <protection/>
    </xf>
    <xf numFmtId="0" fontId="78" fillId="33" borderId="31" xfId="55" applyFont="1" applyFill="1" applyBorder="1" applyAlignment="1">
      <alignment horizontal="center" vertical="top" wrapText="1"/>
      <protection/>
    </xf>
    <xf numFmtId="0" fontId="78" fillId="34" borderId="13" xfId="55" applyFont="1" applyFill="1" applyBorder="1" applyAlignment="1">
      <alignment horizontal="center" vertical="top" wrapText="1"/>
      <protection/>
    </xf>
    <xf numFmtId="0" fontId="78" fillId="34" borderId="0" xfId="55" applyFont="1" applyFill="1" applyBorder="1" applyAlignment="1">
      <alignment horizontal="center" vertical="top" wrapText="1"/>
      <protection/>
    </xf>
    <xf numFmtId="0" fontId="26" fillId="0" borderId="13" xfId="55" applyFont="1" applyBorder="1">
      <alignment/>
      <protection/>
    </xf>
    <xf numFmtId="0" fontId="26" fillId="0" borderId="31" xfId="55" applyFont="1" applyBorder="1">
      <alignment/>
      <protection/>
    </xf>
    <xf numFmtId="0" fontId="79" fillId="0" borderId="13" xfId="55" applyFont="1" applyBorder="1">
      <alignment/>
      <protection/>
    </xf>
    <xf numFmtId="0" fontId="76" fillId="0" borderId="13" xfId="55" applyFont="1" applyBorder="1">
      <alignment/>
      <protection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7" fillId="0" borderId="13" xfId="55" applyFont="1" applyBorder="1">
      <alignment/>
      <protection/>
    </xf>
    <xf numFmtId="4" fontId="27" fillId="0" borderId="13" xfId="55" applyNumberFormat="1" applyFont="1" applyBorder="1">
      <alignment/>
      <protection/>
    </xf>
    <xf numFmtId="4" fontId="27" fillId="0" borderId="31" xfId="55" applyNumberFormat="1" applyFont="1" applyBorder="1">
      <alignment/>
      <protection/>
    </xf>
    <xf numFmtId="4" fontId="78" fillId="0" borderId="13" xfId="0" applyNumberFormat="1" applyFont="1" applyBorder="1" applyAlignment="1">
      <alignment/>
    </xf>
    <xf numFmtId="4" fontId="78" fillId="0" borderId="0" xfId="0" applyNumberFormat="1" applyFont="1" applyBorder="1" applyAlignment="1">
      <alignment/>
    </xf>
    <xf numFmtId="4" fontId="65" fillId="0" borderId="13" xfId="0" applyNumberFormat="1" applyFont="1" applyBorder="1" applyAlignment="1">
      <alignment/>
    </xf>
    <xf numFmtId="4" fontId="26" fillId="0" borderId="13" xfId="55" applyNumberFormat="1" applyFont="1" applyBorder="1">
      <alignment/>
      <protection/>
    </xf>
    <xf numFmtId="4" fontId="26" fillId="0" borderId="31" xfId="55" applyNumberFormat="1" applyFont="1" applyBorder="1">
      <alignment/>
      <protection/>
    </xf>
    <xf numFmtId="0" fontId="27" fillId="0" borderId="13" xfId="55" applyFont="1" applyBorder="1" applyAlignment="1">
      <alignment vertical="center"/>
      <protection/>
    </xf>
    <xf numFmtId="4" fontId="27" fillId="0" borderId="13" xfId="55" applyNumberFormat="1" applyFont="1" applyBorder="1" applyAlignment="1">
      <alignment vertical="center"/>
      <protection/>
    </xf>
    <xf numFmtId="4" fontId="78" fillId="0" borderId="13" xfId="0" applyNumberFormat="1" applyFont="1" applyFill="1" applyBorder="1" applyAlignment="1">
      <alignment vertical="center"/>
    </xf>
    <xf numFmtId="4" fontId="27" fillId="0" borderId="31" xfId="55" applyNumberFormat="1" applyFont="1" applyBorder="1" applyAlignment="1">
      <alignment vertical="center"/>
      <protection/>
    </xf>
    <xf numFmtId="0" fontId="77" fillId="0" borderId="13" xfId="0" applyFont="1" applyFill="1" applyBorder="1" applyAlignment="1">
      <alignment vertical="center" wrapText="1"/>
    </xf>
    <xf numFmtId="4" fontId="77" fillId="0" borderId="13" xfId="0" applyNumberFormat="1" applyFont="1" applyFill="1" applyBorder="1" applyAlignment="1">
      <alignment vertical="center" wrapText="1"/>
    </xf>
    <xf numFmtId="4" fontId="26" fillId="0" borderId="13" xfId="55" applyNumberFormat="1" applyFont="1" applyBorder="1" applyAlignment="1">
      <alignment vertical="center"/>
      <protection/>
    </xf>
    <xf numFmtId="4" fontId="77" fillId="0" borderId="13" xfId="0" applyNumberFormat="1" applyFont="1" applyFill="1" applyBorder="1" applyAlignment="1">
      <alignment vertical="center"/>
    </xf>
    <xf numFmtId="4" fontId="26" fillId="0" borderId="31" xfId="55" applyNumberFormat="1" applyFont="1" applyBorder="1" applyAlignment="1">
      <alignment vertical="center"/>
      <protection/>
    </xf>
    <xf numFmtId="4" fontId="77" fillId="0" borderId="13" xfId="0" applyNumberFormat="1" applyFont="1" applyBorder="1" applyAlignment="1">
      <alignment/>
    </xf>
    <xf numFmtId="4" fontId="77" fillId="0" borderId="0" xfId="0" applyNumberFormat="1" applyFont="1" applyBorder="1" applyAlignment="1">
      <alignment/>
    </xf>
    <xf numFmtId="0" fontId="26" fillId="32" borderId="13" xfId="55" applyFont="1" applyFill="1" applyBorder="1" applyAlignment="1">
      <alignment vertical="center"/>
      <protection/>
    </xf>
    <xf numFmtId="0" fontId="26" fillId="32" borderId="13" xfId="55" applyFont="1" applyFill="1" applyBorder="1">
      <alignment/>
      <protection/>
    </xf>
    <xf numFmtId="0" fontId="77" fillId="0" borderId="13" xfId="0" applyFont="1" applyBorder="1" applyAlignment="1">
      <alignment/>
    </xf>
    <xf numFmtId="0" fontId="77" fillId="0" borderId="0" xfId="0" applyFont="1" applyAlignment="1">
      <alignment/>
    </xf>
    <xf numFmtId="4" fontId="78" fillId="0" borderId="0" xfId="0" applyNumberFormat="1" applyFont="1" applyBorder="1" applyAlignment="1">
      <alignment horizontal="center" vertical="center"/>
    </xf>
    <xf numFmtId="4" fontId="78" fillId="0" borderId="13" xfId="0" applyNumberFormat="1" applyFont="1" applyBorder="1" applyAlignment="1">
      <alignment horizontal="center" vertical="center"/>
    </xf>
    <xf numFmtId="4" fontId="78" fillId="34" borderId="13" xfId="55" applyNumberFormat="1" applyFont="1" applyFill="1" applyBorder="1" applyAlignment="1">
      <alignment horizontal="center" vertical="top" wrapText="1"/>
      <protection/>
    </xf>
    <xf numFmtId="4" fontId="78" fillId="34" borderId="0" xfId="55" applyNumberFormat="1" applyFont="1" applyFill="1" applyBorder="1" applyAlignment="1">
      <alignment horizontal="center" vertical="top" wrapText="1"/>
      <protection/>
    </xf>
    <xf numFmtId="0" fontId="80" fillId="0" borderId="13" xfId="55" applyFont="1" applyBorder="1">
      <alignment/>
      <protection/>
    </xf>
    <xf numFmtId="0" fontId="76" fillId="0" borderId="13" xfId="55" applyFont="1" applyBorder="1" applyAlignment="1">
      <alignment vertical="center"/>
      <protection/>
    </xf>
    <xf numFmtId="4" fontId="65" fillId="0" borderId="0" xfId="0" applyNumberFormat="1" applyFont="1" applyAlignment="1">
      <alignment/>
    </xf>
    <xf numFmtId="0" fontId="26" fillId="0" borderId="13" xfId="55" applyFont="1" applyBorder="1" applyAlignment="1">
      <alignment vertical="center"/>
      <protection/>
    </xf>
    <xf numFmtId="0" fontId="26" fillId="0" borderId="31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6" fillId="0" borderId="0" xfId="55" applyFont="1" applyBorder="1" applyAlignment="1">
      <alignment vertical="center"/>
      <protection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/>
    </xf>
    <xf numFmtId="4" fontId="65" fillId="0" borderId="13" xfId="0" applyNumberFormat="1" applyFont="1" applyBorder="1" applyAlignment="1">
      <alignment/>
    </xf>
    <xf numFmtId="4" fontId="65" fillId="0" borderId="0" xfId="0" applyNumberFormat="1" applyFont="1" applyBorder="1" applyAlignment="1">
      <alignment/>
    </xf>
    <xf numFmtId="0" fontId="80" fillId="0" borderId="13" xfId="0" applyFont="1" applyBorder="1" applyAlignment="1">
      <alignment vertical="center"/>
    </xf>
    <xf numFmtId="0" fontId="77" fillId="0" borderId="31" xfId="0" applyFont="1" applyBorder="1" applyAlignment="1">
      <alignment/>
    </xf>
    <xf numFmtId="4" fontId="78" fillId="0" borderId="13" xfId="0" applyNumberFormat="1" applyFont="1" applyBorder="1" applyAlignment="1">
      <alignment vertical="center"/>
    </xf>
    <xf numFmtId="4" fontId="78" fillId="0" borderId="13" xfId="0" applyNumberFormat="1" applyFont="1" applyBorder="1" applyAlignment="1">
      <alignment horizontal="right" vertical="center"/>
    </xf>
    <xf numFmtId="0" fontId="78" fillId="0" borderId="13" xfId="0" applyFont="1" applyBorder="1" applyAlignment="1">
      <alignment/>
    </xf>
    <xf numFmtId="0" fontId="81" fillId="0" borderId="13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26" fillId="32" borderId="13" xfId="55" applyFont="1" applyFill="1" applyBorder="1" applyAlignment="1">
      <alignment horizontal="left" vertical="center"/>
      <protection/>
    </xf>
    <xf numFmtId="0" fontId="76" fillId="32" borderId="13" xfId="55" applyFont="1" applyFill="1" applyBorder="1">
      <alignment/>
      <protection/>
    </xf>
    <xf numFmtId="4" fontId="27" fillId="32" borderId="13" xfId="55" applyNumberFormat="1" applyFont="1" applyFill="1" applyBorder="1" applyAlignment="1">
      <alignment vertical="center"/>
      <protection/>
    </xf>
    <xf numFmtId="4" fontId="26" fillId="32" borderId="13" xfId="55" applyNumberFormat="1" applyFont="1" applyFill="1" applyBorder="1">
      <alignment/>
      <protection/>
    </xf>
    <xf numFmtId="4" fontId="27" fillId="32" borderId="13" xfId="55" applyNumberFormat="1" applyFont="1" applyFill="1" applyBorder="1">
      <alignment/>
      <protection/>
    </xf>
    <xf numFmtId="4" fontId="26" fillId="32" borderId="13" xfId="55" applyNumberFormat="1" applyFont="1" applyFill="1" applyBorder="1" applyAlignment="1">
      <alignment vertical="center"/>
      <protection/>
    </xf>
    <xf numFmtId="0" fontId="0" fillId="32" borderId="13" xfId="0" applyFill="1" applyBorder="1" applyAlignment="1">
      <alignment/>
    </xf>
    <xf numFmtId="0" fontId="77" fillId="32" borderId="13" xfId="0" applyFont="1" applyFill="1" applyBorder="1" applyAlignment="1">
      <alignment/>
    </xf>
    <xf numFmtId="4" fontId="78" fillId="32" borderId="13" xfId="0" applyNumberFormat="1" applyFont="1" applyFill="1" applyBorder="1" applyAlignment="1">
      <alignment vertical="center"/>
    </xf>
    <xf numFmtId="4" fontId="77" fillId="32" borderId="13" xfId="0" applyNumberFormat="1" applyFont="1" applyFill="1" applyBorder="1" applyAlignment="1">
      <alignment/>
    </xf>
    <xf numFmtId="0" fontId="78" fillId="32" borderId="13" xfId="0" applyFont="1" applyFill="1" applyBorder="1" applyAlignment="1">
      <alignment/>
    </xf>
    <xf numFmtId="4" fontId="78" fillId="32" borderId="13" xfId="0" applyNumberFormat="1" applyFont="1" applyFill="1" applyBorder="1" applyAlignment="1">
      <alignment/>
    </xf>
    <xf numFmtId="4" fontId="77" fillId="32" borderId="13" xfId="0" applyNumberFormat="1" applyFont="1" applyFill="1" applyBorder="1" applyAlignment="1">
      <alignment vertical="center"/>
    </xf>
    <xf numFmtId="4" fontId="78" fillId="32" borderId="13" xfId="0" applyNumberFormat="1" applyFont="1" applyFill="1" applyBorder="1" applyAlignment="1">
      <alignment horizontal="right" vertical="center"/>
    </xf>
    <xf numFmtId="0" fontId="77" fillId="32" borderId="0" xfId="0" applyFont="1" applyFill="1" applyAlignment="1">
      <alignment/>
    </xf>
    <xf numFmtId="3" fontId="77" fillId="32" borderId="25" xfId="0" applyNumberFormat="1" applyFont="1" applyFill="1" applyBorder="1" applyAlignment="1">
      <alignment horizontal="center" vertical="center"/>
    </xf>
    <xf numFmtId="3" fontId="77" fillId="32" borderId="36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3" fontId="1" fillId="32" borderId="37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3" fontId="1" fillId="32" borderId="38" xfId="0" applyNumberFormat="1" applyFont="1" applyFill="1" applyBorder="1" applyAlignment="1">
      <alignment horizontal="center" vertical="center" wrapText="1"/>
    </xf>
    <xf numFmtId="3" fontId="77" fillId="32" borderId="39" xfId="0" applyNumberFormat="1" applyFont="1" applyFill="1" applyBorder="1" applyAlignment="1">
      <alignment horizontal="center" vertical="center"/>
    </xf>
    <xf numFmtId="3" fontId="77" fillId="32" borderId="13" xfId="0" applyNumberFormat="1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3" fontId="1" fillId="32" borderId="41" xfId="0" applyNumberFormat="1" applyFont="1" applyFill="1" applyBorder="1" applyAlignment="1">
      <alignment horizontal="center" vertical="center" wrapText="1"/>
    </xf>
    <xf numFmtId="3" fontId="1" fillId="32" borderId="42" xfId="0" applyNumberFormat="1" applyFont="1" applyFill="1" applyBorder="1" applyAlignment="1">
      <alignment horizontal="center" vertical="center" wrapText="1"/>
    </xf>
    <xf numFmtId="3" fontId="1" fillId="32" borderId="40" xfId="0" applyNumberFormat="1" applyFont="1" applyFill="1" applyBorder="1" applyAlignment="1">
      <alignment horizontal="center" vertical="center" wrapText="1"/>
    </xf>
    <xf numFmtId="3" fontId="1" fillId="32" borderId="43" xfId="0" applyNumberFormat="1" applyFont="1" applyFill="1" applyBorder="1" applyAlignment="1">
      <alignment horizontal="center" vertical="center" wrapText="1"/>
    </xf>
    <xf numFmtId="3" fontId="1" fillId="32" borderId="44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2" fillId="32" borderId="44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3" fontId="2" fillId="32" borderId="26" xfId="62" applyNumberFormat="1" applyFont="1" applyFill="1" applyBorder="1" applyAlignment="1">
      <alignment horizontal="left" vertical="center" wrapText="1"/>
      <protection/>
    </xf>
    <xf numFmtId="0" fontId="1" fillId="32" borderId="48" xfId="0" applyFont="1" applyFill="1" applyBorder="1" applyAlignment="1">
      <alignment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4" fontId="2" fillId="32" borderId="50" xfId="0" applyNumberFormat="1" applyFont="1" applyFill="1" applyBorder="1" applyAlignment="1">
      <alignment horizontal="center" vertical="center" wrapText="1"/>
    </xf>
    <xf numFmtId="4" fontId="1" fillId="32" borderId="49" xfId="0" applyNumberFormat="1" applyFont="1" applyFill="1" applyBorder="1" applyAlignment="1">
      <alignment horizontal="center" vertical="center" wrapText="1"/>
    </xf>
    <xf numFmtId="4" fontId="1" fillId="32" borderId="51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52" xfId="0" applyNumberFormat="1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left" vertical="center" wrapText="1"/>
    </xf>
    <xf numFmtId="0" fontId="2" fillId="32" borderId="54" xfId="0" applyFont="1" applyFill="1" applyBorder="1" applyAlignment="1">
      <alignment horizontal="left" vertical="center" wrapText="1"/>
    </xf>
    <xf numFmtId="0" fontId="77" fillId="32" borderId="13" xfId="0" applyFont="1" applyFill="1" applyBorder="1" applyAlignment="1">
      <alignment horizontal="center" vertical="center" wrapText="1"/>
    </xf>
    <xf numFmtId="0" fontId="77" fillId="32" borderId="36" xfId="0" applyFont="1" applyFill="1" applyBorder="1" applyAlignment="1">
      <alignment horizontal="left" vertical="center" wrapText="1"/>
    </xf>
    <xf numFmtId="0" fontId="77" fillId="0" borderId="36" xfId="0" applyFont="1" applyBorder="1" applyAlignment="1">
      <alignment horizontal="left" vertical="center" wrapText="1"/>
    </xf>
    <xf numFmtId="0" fontId="77" fillId="0" borderId="55" xfId="0" applyFont="1" applyBorder="1" applyAlignment="1">
      <alignment horizontal="left" vertical="center" wrapText="1"/>
    </xf>
    <xf numFmtId="0" fontId="77" fillId="32" borderId="55" xfId="0" applyFont="1" applyFill="1" applyBorder="1" applyAlignment="1">
      <alignment horizontal="left" vertical="center" wrapText="1"/>
    </xf>
    <xf numFmtId="0" fontId="2" fillId="32" borderId="31" xfId="0" applyFont="1" applyFill="1" applyBorder="1" applyAlignment="1">
      <alignment horizontal="center" vertical="center" wrapText="1"/>
    </xf>
    <xf numFmtId="3" fontId="1" fillId="32" borderId="31" xfId="0" applyNumberFormat="1" applyFont="1" applyFill="1" applyBorder="1" applyAlignment="1">
      <alignment horizontal="center" vertical="center" wrapText="1"/>
    </xf>
    <xf numFmtId="3" fontId="1" fillId="32" borderId="56" xfId="0" applyNumberFormat="1" applyFont="1" applyFill="1" applyBorder="1" applyAlignment="1">
      <alignment horizontal="center" vertical="center" wrapText="1"/>
    </xf>
    <xf numFmtId="0" fontId="77" fillId="32" borderId="21" xfId="0" applyFont="1" applyFill="1" applyBorder="1" applyAlignment="1">
      <alignment horizontal="center" vertical="center" wrapText="1"/>
    </xf>
    <xf numFmtId="3" fontId="1" fillId="32" borderId="57" xfId="0" applyNumberFormat="1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left" vertical="center" wrapText="1"/>
    </xf>
    <xf numFmtId="0" fontId="2" fillId="32" borderId="58" xfId="0" applyFont="1" applyFill="1" applyBorder="1" applyAlignment="1">
      <alignment horizontal="center" vertical="center" wrapText="1"/>
    </xf>
    <xf numFmtId="3" fontId="1" fillId="32" borderId="39" xfId="0" applyNumberFormat="1" applyFont="1" applyFill="1" applyBorder="1" applyAlignment="1">
      <alignment horizontal="center" vertical="center" wrapText="1"/>
    </xf>
    <xf numFmtId="3" fontId="1" fillId="32" borderId="58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2" fillId="32" borderId="59" xfId="0" applyFont="1" applyFill="1" applyBorder="1" applyAlignment="1">
      <alignment vertical="center" wrapText="1"/>
    </xf>
    <xf numFmtId="0" fontId="2" fillId="32" borderId="6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2" fillId="32" borderId="61" xfId="0" applyFont="1" applyFill="1" applyBorder="1" applyAlignment="1">
      <alignment vertical="center" wrapText="1"/>
    </xf>
    <xf numFmtId="0" fontId="2" fillId="32" borderId="41" xfId="0" applyFont="1" applyFill="1" applyBorder="1" applyAlignment="1">
      <alignment horizontal="center" vertical="center" wrapText="1"/>
    </xf>
    <xf numFmtId="3" fontId="77" fillId="32" borderId="40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 wrapText="1"/>
    </xf>
    <xf numFmtId="3" fontId="1" fillId="32" borderId="63" xfId="0" applyNumberFormat="1" applyFont="1" applyFill="1" applyBorder="1" applyAlignment="1">
      <alignment horizontal="center" vertical="center" wrapText="1"/>
    </xf>
    <xf numFmtId="3" fontId="1" fillId="32" borderId="64" xfId="0" applyNumberFormat="1" applyFont="1" applyFill="1" applyBorder="1" applyAlignment="1">
      <alignment horizontal="center" vertical="center" wrapText="1"/>
    </xf>
    <xf numFmtId="3" fontId="1" fillId="32" borderId="65" xfId="0" applyNumberFormat="1" applyFont="1" applyFill="1" applyBorder="1" applyAlignment="1">
      <alignment horizontal="center" vertical="center" wrapText="1"/>
    </xf>
    <xf numFmtId="3" fontId="77" fillId="32" borderId="65" xfId="0" applyNumberFormat="1" applyFont="1" applyFill="1" applyBorder="1" applyAlignment="1">
      <alignment horizontal="center" vertical="center"/>
    </xf>
    <xf numFmtId="3" fontId="1" fillId="32" borderId="66" xfId="0" applyNumberFormat="1" applyFont="1" applyFill="1" applyBorder="1" applyAlignment="1">
      <alignment horizontal="center" vertical="center" wrapText="1"/>
    </xf>
    <xf numFmtId="3" fontId="77" fillId="32" borderId="67" xfId="0" applyNumberFormat="1" applyFont="1" applyFill="1" applyBorder="1" applyAlignment="1">
      <alignment horizontal="center" vertical="center"/>
    </xf>
    <xf numFmtId="3" fontId="77" fillId="32" borderId="66" xfId="0" applyNumberFormat="1" applyFont="1" applyFill="1" applyBorder="1" applyAlignment="1">
      <alignment horizontal="center" vertical="center"/>
    </xf>
    <xf numFmtId="3" fontId="77" fillId="32" borderId="68" xfId="0" applyNumberFormat="1" applyFont="1" applyFill="1" applyBorder="1" applyAlignment="1">
      <alignment horizontal="center" vertical="center"/>
    </xf>
    <xf numFmtId="3" fontId="1" fillId="32" borderId="47" xfId="0" applyNumberFormat="1" applyFont="1" applyFill="1" applyBorder="1" applyAlignment="1">
      <alignment horizontal="center" vertical="center" wrapText="1"/>
    </xf>
    <xf numFmtId="3" fontId="1" fillId="32" borderId="69" xfId="0" applyNumberFormat="1" applyFont="1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 wrapText="1"/>
    </xf>
    <xf numFmtId="175" fontId="23" fillId="32" borderId="13" xfId="77" applyFont="1" applyFill="1" applyBorder="1" applyAlignment="1">
      <alignment horizontal="center" vertical="center" wrapText="1"/>
    </xf>
    <xf numFmtId="175" fontId="11" fillId="32" borderId="31" xfId="77" applyFont="1" applyFill="1" applyBorder="1" applyAlignment="1">
      <alignment horizontal="center" vertical="center" wrapText="1"/>
    </xf>
    <xf numFmtId="175" fontId="11" fillId="32" borderId="24" xfId="77" applyFont="1" applyFill="1" applyBorder="1" applyAlignment="1">
      <alignment horizontal="center" vertical="center" wrapText="1"/>
    </xf>
    <xf numFmtId="175" fontId="11" fillId="32" borderId="13" xfId="77" applyFont="1" applyFill="1" applyBorder="1" applyAlignment="1">
      <alignment horizontal="center" vertical="center" wrapText="1"/>
    </xf>
    <xf numFmtId="175" fontId="23" fillId="32" borderId="24" xfId="77" applyFont="1" applyFill="1" applyBorder="1" applyAlignment="1">
      <alignment horizontal="center" vertical="center" wrapText="1"/>
    </xf>
    <xf numFmtId="175" fontId="11" fillId="32" borderId="15" xfId="77" applyFont="1" applyFill="1" applyBorder="1" applyAlignment="1">
      <alignment horizontal="center" vertical="center" wrapText="1"/>
    </xf>
    <xf numFmtId="175" fontId="11" fillId="32" borderId="70" xfId="77" applyFont="1" applyFill="1" applyBorder="1" applyAlignment="1">
      <alignment horizontal="center" vertical="center" wrapText="1"/>
    </xf>
    <xf numFmtId="175" fontId="11" fillId="32" borderId="71" xfId="77" applyFont="1" applyFill="1" applyBorder="1" applyAlignment="1">
      <alignment horizontal="center" vertical="center" wrapText="1"/>
    </xf>
    <xf numFmtId="175" fontId="11" fillId="32" borderId="17" xfId="77" applyFont="1" applyFill="1" applyBorder="1" applyAlignment="1">
      <alignment horizontal="center" vertical="center" wrapText="1"/>
    </xf>
    <xf numFmtId="175" fontId="11" fillId="32" borderId="72" xfId="77" applyFont="1" applyFill="1" applyBorder="1" applyAlignment="1">
      <alignment horizontal="center" vertical="center" wrapText="1"/>
    </xf>
    <xf numFmtId="175" fontId="11" fillId="32" borderId="73" xfId="77" applyFont="1" applyFill="1" applyBorder="1" applyAlignment="1">
      <alignment horizontal="center" vertical="center" wrapText="1"/>
    </xf>
    <xf numFmtId="175" fontId="11" fillId="32" borderId="18" xfId="77" applyFont="1" applyFill="1" applyBorder="1" applyAlignment="1">
      <alignment horizontal="center" vertical="center" wrapText="1"/>
    </xf>
    <xf numFmtId="175" fontId="11" fillId="32" borderId="74" xfId="77" applyFont="1" applyFill="1" applyBorder="1" applyAlignment="1">
      <alignment horizontal="center" vertical="center" wrapText="1"/>
    </xf>
    <xf numFmtId="175" fontId="11" fillId="32" borderId="75" xfId="77" applyFont="1" applyFill="1" applyBorder="1" applyAlignment="1">
      <alignment horizontal="center" vertical="center" wrapText="1"/>
    </xf>
    <xf numFmtId="175" fontId="23" fillId="32" borderId="31" xfId="77" applyFont="1" applyFill="1" applyBorder="1" applyAlignment="1">
      <alignment horizontal="center" vertical="center" wrapText="1"/>
    </xf>
    <xf numFmtId="175" fontId="11" fillId="32" borderId="40" xfId="77" applyFont="1" applyFill="1" applyBorder="1" applyAlignment="1">
      <alignment horizontal="center" vertical="center" wrapText="1"/>
    </xf>
    <xf numFmtId="175" fontId="11" fillId="32" borderId="43" xfId="77" applyFont="1" applyFill="1" applyBorder="1" applyAlignment="1">
      <alignment horizontal="center" vertical="center" wrapText="1"/>
    </xf>
    <xf numFmtId="4" fontId="2" fillId="0" borderId="76" xfId="0" applyNumberFormat="1" applyFont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1" fillId="35" borderId="77" xfId="0" applyNumberFormat="1" applyFont="1" applyFill="1" applyBorder="1" applyAlignment="1">
      <alignment vertical="center" wrapText="1"/>
    </xf>
    <xf numFmtId="4" fontId="2" fillId="0" borderId="69" xfId="0" applyNumberFormat="1" applyFont="1" applyBorder="1" applyAlignment="1">
      <alignment horizontal="center" vertical="center" wrapText="1"/>
    </xf>
    <xf numFmtId="4" fontId="2" fillId="0" borderId="63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175" fontId="11" fillId="32" borderId="13" xfId="77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76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/>
    </xf>
    <xf numFmtId="4" fontId="5" fillId="0" borderId="5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/>
    </xf>
    <xf numFmtId="1" fontId="5" fillId="0" borderId="22" xfId="0" applyNumberFormat="1" applyFont="1" applyFill="1" applyBorder="1" applyAlignment="1">
      <alignment horizontal="center" vertical="center"/>
    </xf>
    <xf numFmtId="4" fontId="2" fillId="0" borderId="63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1" fillId="35" borderId="49" xfId="0" applyNumberFormat="1" applyFont="1" applyFill="1" applyBorder="1" applyAlignment="1">
      <alignment vertical="center" wrapText="1"/>
    </xf>
    <xf numFmtId="0" fontId="3" fillId="0" borderId="0" xfId="62" applyFont="1" applyFill="1" applyAlignment="1">
      <alignment horizontal="center" wrapText="1"/>
      <protection/>
    </xf>
    <xf numFmtId="0" fontId="4" fillId="0" borderId="0" xfId="62" applyFont="1" applyBorder="1">
      <alignment/>
      <protection/>
    </xf>
    <xf numFmtId="0" fontId="11" fillId="0" borderId="0" xfId="62" applyFont="1" applyAlignment="1">
      <alignment horizontal="right"/>
      <protection/>
    </xf>
    <xf numFmtId="49" fontId="19" fillId="32" borderId="0" xfId="0" applyNumberFormat="1" applyFont="1" applyFill="1" applyAlignment="1">
      <alignment/>
    </xf>
    <xf numFmtId="0" fontId="11" fillId="32" borderId="0" xfId="62" applyFont="1" applyFill="1" applyBorder="1">
      <alignment/>
      <protection/>
    </xf>
    <xf numFmtId="0" fontId="4" fillId="32" borderId="0" xfId="62" applyFont="1" applyFill="1" applyBorder="1">
      <alignment/>
      <protection/>
    </xf>
    <xf numFmtId="0" fontId="4" fillId="0" borderId="0" xfId="62" applyFont="1" applyBorder="1" applyAlignment="1">
      <alignment horizontal="right" wrapText="1"/>
      <protection/>
    </xf>
    <xf numFmtId="0" fontId="0" fillId="0" borderId="0" xfId="0" applyBorder="1" applyAlignment="1">
      <alignment horizontal="right" wrapText="1"/>
    </xf>
    <xf numFmtId="0" fontId="30" fillId="0" borderId="0" xfId="62" applyFont="1">
      <alignment/>
      <protection/>
    </xf>
    <xf numFmtId="0" fontId="11" fillId="0" borderId="0" xfId="62" applyFont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32" borderId="78" xfId="62" applyFont="1" applyFill="1" applyBorder="1" applyAlignment="1">
      <alignment vertical="center" wrapText="1"/>
      <protection/>
    </xf>
    <xf numFmtId="0" fontId="11" fillId="32" borderId="78" xfId="62" applyFont="1" applyFill="1" applyBorder="1" applyAlignment="1">
      <alignment horizontal="center" vertical="center" wrapText="1"/>
      <protection/>
    </xf>
    <xf numFmtId="0" fontId="11" fillId="32" borderId="63" xfId="62" applyFont="1" applyFill="1" applyBorder="1" applyAlignment="1">
      <alignment horizontal="center" vertical="center" wrapText="1"/>
      <protection/>
    </xf>
    <xf numFmtId="0" fontId="11" fillId="32" borderId="79" xfId="62" applyFont="1" applyFill="1" applyBorder="1" applyAlignment="1">
      <alignment horizontal="center" vertical="center" wrapText="1"/>
      <protection/>
    </xf>
    <xf numFmtId="0" fontId="11" fillId="32" borderId="64" xfId="62" applyFont="1" applyFill="1" applyBorder="1" applyAlignment="1">
      <alignment horizontal="center" vertical="center" wrapText="1"/>
      <protection/>
    </xf>
    <xf numFmtId="0" fontId="22" fillId="32" borderId="21" xfId="62" applyFont="1" applyFill="1" applyBorder="1" applyAlignment="1">
      <alignment horizontal="center" vertical="center" wrapText="1"/>
      <protection/>
    </xf>
    <xf numFmtId="0" fontId="22" fillId="32" borderId="52" xfId="62" applyFont="1" applyFill="1" applyBorder="1" applyAlignment="1">
      <alignment horizontal="center" vertical="center" wrapText="1"/>
      <protection/>
    </xf>
    <xf numFmtId="0" fontId="11" fillId="32" borderId="65" xfId="62" applyFont="1" applyFill="1" applyBorder="1" applyAlignment="1">
      <alignment horizontal="center" vertical="center" wrapText="1"/>
      <protection/>
    </xf>
    <xf numFmtId="3" fontId="23" fillId="32" borderId="13" xfId="62" applyNumberFormat="1" applyFont="1" applyFill="1" applyBorder="1" applyAlignment="1">
      <alignment horizontal="left" vertical="center" wrapText="1"/>
      <protection/>
    </xf>
    <xf numFmtId="0" fontId="11" fillId="32" borderId="13" xfId="62" applyFont="1" applyFill="1" applyBorder="1" applyAlignment="1">
      <alignment horizontal="center" vertical="center" wrapText="1"/>
      <protection/>
    </xf>
    <xf numFmtId="0" fontId="11" fillId="32" borderId="13" xfId="62" applyFont="1" applyFill="1" applyBorder="1" applyAlignment="1">
      <alignment vertical="center" wrapText="1"/>
      <protection/>
    </xf>
    <xf numFmtId="0" fontId="23" fillId="32" borderId="65" xfId="62" applyFont="1" applyFill="1" applyBorder="1" applyAlignment="1">
      <alignment horizontal="center" vertical="center" wrapText="1"/>
      <protection/>
    </xf>
    <xf numFmtId="3" fontId="11" fillId="32" borderId="13" xfId="62" applyNumberFormat="1" applyFont="1" applyFill="1" applyBorder="1" applyAlignment="1">
      <alignment horizontal="left" vertical="center" wrapText="1"/>
      <protection/>
    </xf>
    <xf numFmtId="0" fontId="11" fillId="32" borderId="13" xfId="61" applyFont="1" applyFill="1" applyBorder="1" applyAlignment="1">
      <alignment horizontal="center" vertical="center" wrapText="1"/>
      <protection/>
    </xf>
    <xf numFmtId="49" fontId="11" fillId="32" borderId="13" xfId="61" applyNumberFormat="1" applyFont="1" applyFill="1" applyBorder="1" applyAlignment="1">
      <alignment horizontal="center" vertical="center" wrapText="1"/>
      <protection/>
    </xf>
    <xf numFmtId="49" fontId="11" fillId="32" borderId="65" xfId="62" applyNumberFormat="1" applyFont="1" applyFill="1" applyBorder="1" applyAlignment="1">
      <alignment horizontal="center" vertical="center" wrapText="1"/>
      <protection/>
    </xf>
    <xf numFmtId="49" fontId="23" fillId="32" borderId="65" xfId="62" applyNumberFormat="1" applyFont="1" applyFill="1" applyBorder="1" applyAlignment="1">
      <alignment horizontal="center" vertical="center" wrapText="1"/>
      <protection/>
    </xf>
    <xf numFmtId="0" fontId="23" fillId="32" borderId="13" xfId="62" applyFont="1" applyFill="1" applyBorder="1" applyAlignment="1">
      <alignment vertical="center" wrapText="1"/>
      <protection/>
    </xf>
    <xf numFmtId="3" fontId="23" fillId="32" borderId="21" xfId="62" applyNumberFormat="1" applyFont="1" applyFill="1" applyBorder="1" applyAlignment="1">
      <alignment horizontal="left" vertical="center" wrapText="1"/>
      <protection/>
    </xf>
    <xf numFmtId="0" fontId="11" fillId="32" borderId="15" xfId="62" applyFont="1" applyFill="1" applyBorder="1" applyAlignment="1">
      <alignment vertical="center" wrapText="1"/>
      <protection/>
    </xf>
    <xf numFmtId="0" fontId="11" fillId="32" borderId="15" xfId="61" applyFont="1" applyFill="1" applyBorder="1" applyAlignment="1">
      <alignment horizontal="center" vertical="center" wrapText="1"/>
      <protection/>
    </xf>
    <xf numFmtId="0" fontId="4" fillId="32" borderId="17" xfId="0" applyFont="1" applyFill="1" applyBorder="1" applyAlignment="1">
      <alignment vertical="center" wrapText="1"/>
    </xf>
    <xf numFmtId="0" fontId="11" fillId="32" borderId="17" xfId="61" applyFont="1" applyFill="1" applyBorder="1" applyAlignment="1">
      <alignment horizontal="center" vertical="center" wrapText="1"/>
      <protection/>
    </xf>
    <xf numFmtId="0" fontId="4" fillId="32" borderId="18" xfId="0" applyFont="1" applyFill="1" applyBorder="1" applyAlignment="1">
      <alignment vertical="center" wrapText="1"/>
    </xf>
    <xf numFmtId="0" fontId="11" fillId="32" borderId="18" xfId="61" applyFont="1" applyFill="1" applyBorder="1" applyAlignment="1">
      <alignment horizontal="center" vertical="center" wrapText="1"/>
      <protection/>
    </xf>
    <xf numFmtId="49" fontId="11" fillId="32" borderId="15" xfId="61" applyNumberFormat="1" applyFont="1" applyFill="1" applyBorder="1" applyAlignment="1">
      <alignment horizontal="center" vertical="center" wrapText="1"/>
      <protection/>
    </xf>
    <xf numFmtId="49" fontId="11" fillId="32" borderId="17" xfId="61" applyNumberFormat="1" applyFont="1" applyFill="1" applyBorder="1" applyAlignment="1">
      <alignment horizontal="center" vertical="center" wrapText="1"/>
      <protection/>
    </xf>
    <xf numFmtId="49" fontId="11" fillId="32" borderId="18" xfId="61" applyNumberFormat="1" applyFont="1" applyFill="1" applyBorder="1" applyAlignment="1">
      <alignment horizontal="center" vertical="center" wrapText="1"/>
      <protection/>
    </xf>
    <xf numFmtId="3" fontId="11" fillId="32" borderId="15" xfId="62" applyNumberFormat="1" applyFont="1" applyFill="1" applyBorder="1" applyAlignment="1">
      <alignment horizontal="left" vertical="center" wrapText="1"/>
      <protection/>
    </xf>
    <xf numFmtId="49" fontId="23" fillId="32" borderId="66" xfId="62" applyNumberFormat="1" applyFont="1" applyFill="1" applyBorder="1" applyAlignment="1">
      <alignment horizontal="center" vertical="center" wrapText="1"/>
      <protection/>
    </xf>
    <xf numFmtId="0" fontId="23" fillId="32" borderId="40" xfId="62" applyFont="1" applyFill="1" applyBorder="1" applyAlignment="1">
      <alignment vertical="center" wrapText="1"/>
      <protection/>
    </xf>
    <xf numFmtId="49" fontId="11" fillId="32" borderId="40" xfId="61" applyNumberFormat="1" applyFont="1" applyFill="1" applyBorder="1" applyAlignment="1">
      <alignment horizontal="center" vertical="center" wrapText="1"/>
      <protection/>
    </xf>
    <xf numFmtId="0" fontId="31" fillId="0" borderId="0" xfId="62" applyFont="1">
      <alignment/>
      <protection/>
    </xf>
    <xf numFmtId="0" fontId="11" fillId="0" borderId="0" xfId="62" applyFont="1">
      <alignment/>
      <protection/>
    </xf>
    <xf numFmtId="0" fontId="11" fillId="0" borderId="0" xfId="0" applyFont="1" applyFill="1" applyBorder="1" applyAlignment="1">
      <alignment/>
    </xf>
    <xf numFmtId="0" fontId="11" fillId="32" borderId="0" xfId="62" applyFont="1" applyFill="1">
      <alignment/>
      <protection/>
    </xf>
    <xf numFmtId="0" fontId="11" fillId="0" borderId="0" xfId="62" applyFont="1" applyBorder="1">
      <alignment/>
      <protection/>
    </xf>
    <xf numFmtId="0" fontId="11" fillId="32" borderId="0" xfId="0" applyFont="1" applyFill="1" applyBorder="1" applyAlignment="1">
      <alignment/>
    </xf>
    <xf numFmtId="49" fontId="11" fillId="32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62" applyBorder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5" fillId="0" borderId="0" xfId="43" applyFont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32" borderId="80" xfId="0" applyFont="1" applyFill="1" applyBorder="1" applyAlignment="1">
      <alignment horizontal="center" vertical="center" wrapText="1"/>
    </xf>
    <xf numFmtId="0" fontId="1" fillId="32" borderId="77" xfId="0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81" xfId="0" applyBorder="1" applyAlignment="1">
      <alignment/>
    </xf>
    <xf numFmtId="4" fontId="77" fillId="32" borderId="65" xfId="0" applyNumberFormat="1" applyFont="1" applyFill="1" applyBorder="1" applyAlignment="1">
      <alignment horizontal="center" vertical="center" wrapText="1"/>
    </xf>
    <xf numFmtId="4" fontId="77" fillId="32" borderId="13" xfId="0" applyNumberFormat="1" applyFont="1" applyFill="1" applyBorder="1" applyAlignment="1">
      <alignment horizontal="center" vertical="center" wrapText="1"/>
    </xf>
    <xf numFmtId="4" fontId="77" fillId="32" borderId="33" xfId="0" applyNumberFormat="1" applyFont="1" applyFill="1" applyBorder="1" applyAlignment="1">
      <alignment horizontal="center" vertical="center" wrapText="1"/>
    </xf>
    <xf numFmtId="4" fontId="77" fillId="32" borderId="82" xfId="0" applyNumberFormat="1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7" applyFont="1" applyAlignment="1">
      <alignment horizontal="center"/>
    </xf>
    <xf numFmtId="0" fontId="2" fillId="0" borderId="0" xfId="62" applyFont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26" fillId="32" borderId="62" xfId="0" applyNumberFormat="1" applyFont="1" applyFill="1" applyBorder="1" applyAlignment="1">
      <alignment horizontal="center" vertical="center" wrapText="1"/>
    </xf>
    <xf numFmtId="4" fontId="26" fillId="32" borderId="63" xfId="0" applyNumberFormat="1" applyFont="1" applyFill="1" applyBorder="1" applyAlignment="1">
      <alignment horizontal="center" vertical="center" wrapText="1"/>
    </xf>
    <xf numFmtId="4" fontId="26" fillId="32" borderId="65" xfId="0" applyNumberFormat="1" applyFont="1" applyFill="1" applyBorder="1" applyAlignment="1">
      <alignment horizontal="center" vertical="center" wrapText="1"/>
    </xf>
    <xf numFmtId="4" fontId="26" fillId="32" borderId="13" xfId="0" applyNumberFormat="1" applyFont="1" applyFill="1" applyBorder="1" applyAlignment="1">
      <alignment horizontal="center" vertical="center" wrapText="1"/>
    </xf>
    <xf numFmtId="4" fontId="77" fillId="32" borderId="85" xfId="0" applyNumberFormat="1" applyFont="1" applyFill="1" applyBorder="1" applyAlignment="1">
      <alignment horizontal="center" vertical="center" wrapText="1"/>
    </xf>
    <xf numFmtId="4" fontId="77" fillId="32" borderId="86" xfId="0" applyNumberFormat="1" applyFont="1" applyFill="1" applyBorder="1" applyAlignment="1">
      <alignment horizontal="center" vertical="center" wrapText="1"/>
    </xf>
    <xf numFmtId="4" fontId="77" fillId="32" borderId="34" xfId="0" applyNumberFormat="1" applyFont="1" applyFill="1" applyBorder="1" applyAlignment="1">
      <alignment horizontal="center" vertical="center" wrapText="1"/>
    </xf>
    <xf numFmtId="4" fontId="77" fillId="32" borderId="87" xfId="0" applyNumberFormat="1" applyFont="1" applyFill="1" applyBorder="1" applyAlignment="1">
      <alignment horizontal="center" vertical="center" wrapText="1"/>
    </xf>
    <xf numFmtId="4" fontId="26" fillId="32" borderId="66" xfId="0" applyNumberFormat="1" applyFont="1" applyFill="1" applyBorder="1" applyAlignment="1">
      <alignment horizontal="center" vertical="center" wrapText="1"/>
    </xf>
    <xf numFmtId="4" fontId="26" fillId="32" borderId="40" xfId="0" applyNumberFormat="1" applyFont="1" applyFill="1" applyBorder="1" applyAlignment="1">
      <alignment horizontal="center" vertical="center" wrapText="1"/>
    </xf>
    <xf numFmtId="4" fontId="77" fillId="32" borderId="62" xfId="0" applyNumberFormat="1" applyFont="1" applyFill="1" applyBorder="1" applyAlignment="1">
      <alignment horizontal="center" vertical="center" wrapText="1"/>
    </xf>
    <xf numFmtId="4" fontId="77" fillId="32" borderId="63" xfId="0" applyNumberFormat="1" applyFont="1" applyFill="1" applyBorder="1" applyAlignment="1">
      <alignment horizontal="center" vertical="center" wrapText="1"/>
    </xf>
    <xf numFmtId="0" fontId="5" fillId="0" borderId="0" xfId="61" applyFont="1" applyFill="1" applyAlignment="1">
      <alignment horizontal="right" vertical="center" wrapText="1"/>
      <protection/>
    </xf>
    <xf numFmtId="0" fontId="2" fillId="0" borderId="8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6" fillId="0" borderId="0" xfId="61" applyFont="1" applyFill="1" applyAlignment="1">
      <alignment horizontal="righ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1" fillId="32" borderId="89" xfId="0" applyFont="1" applyFill="1" applyBorder="1" applyAlignment="1">
      <alignment horizontal="center" vertical="center" wrapText="1"/>
    </xf>
    <xf numFmtId="0" fontId="0" fillId="0" borderId="89" xfId="0" applyBorder="1" applyAlignment="1">
      <alignment/>
    </xf>
    <xf numFmtId="0" fontId="0" fillId="0" borderId="86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1" fillId="0" borderId="0" xfId="62" applyFont="1" applyBorder="1" applyAlignment="1">
      <alignment horizontal="left" wrapText="1"/>
      <protection/>
    </xf>
    <xf numFmtId="0" fontId="11" fillId="0" borderId="0" xfId="62" applyFont="1" applyBorder="1" applyAlignment="1">
      <alignment horizontal="right" wrapText="1"/>
      <protection/>
    </xf>
    <xf numFmtId="0" fontId="29" fillId="0" borderId="0" xfId="0" applyFont="1" applyBorder="1" applyAlignment="1">
      <alignment horizontal="right" wrapText="1"/>
    </xf>
    <xf numFmtId="0" fontId="11" fillId="0" borderId="0" xfId="62" applyFont="1" applyAlignment="1">
      <alignment horizontal="right"/>
      <protection/>
    </xf>
    <xf numFmtId="0" fontId="11" fillId="32" borderId="0" xfId="62" applyFont="1" applyFill="1" applyBorder="1" applyAlignment="1">
      <alignment wrapText="1"/>
      <protection/>
    </xf>
    <xf numFmtId="0" fontId="0" fillId="32" borderId="0" xfId="0" applyFill="1" applyAlignment="1">
      <alignment wrapText="1"/>
    </xf>
    <xf numFmtId="0" fontId="11" fillId="0" borderId="0" xfId="62" applyFont="1" applyAlignment="1">
      <alignment horizontal="right" vertical="center"/>
      <protection/>
    </xf>
    <xf numFmtId="0" fontId="11" fillId="0" borderId="0" xfId="62" applyFont="1" applyAlignment="1">
      <alignment horizontal="left"/>
      <protection/>
    </xf>
    <xf numFmtId="0" fontId="11" fillId="32" borderId="0" xfId="0" applyFont="1" applyFill="1" applyBorder="1" applyAlignment="1">
      <alignment horizontal="left" wrapText="1"/>
    </xf>
    <xf numFmtId="0" fontId="3" fillId="0" borderId="0" xfId="62" applyFont="1" applyFill="1" applyAlignment="1">
      <alignment horizontal="center" wrapText="1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left" vertical="top" wrapText="1"/>
      <protection/>
    </xf>
    <xf numFmtId="0" fontId="2" fillId="0" borderId="0" xfId="61" applyFont="1" applyFill="1" applyAlignment="1">
      <alignment horizontal="right" vertical="center" wrapText="1"/>
      <protection/>
    </xf>
    <xf numFmtId="0" fontId="19" fillId="0" borderId="0" xfId="0" applyFont="1" applyBorder="1" applyAlignment="1">
      <alignment horizontal="center" wrapText="1"/>
    </xf>
    <xf numFmtId="0" fontId="11" fillId="32" borderId="62" xfId="62" applyFont="1" applyFill="1" applyBorder="1" applyAlignment="1">
      <alignment horizontal="center" vertical="center" wrapText="1"/>
      <protection/>
    </xf>
    <xf numFmtId="0" fontId="11" fillId="32" borderId="65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0" fontId="4" fillId="0" borderId="91" xfId="63" applyFont="1" applyBorder="1" applyAlignment="1">
      <alignment horizontal="center" vertical="center" wrapText="1"/>
      <protection/>
    </xf>
    <xf numFmtId="0" fontId="4" fillId="0" borderId="90" xfId="63" applyFont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4" fillId="0" borderId="92" xfId="63" applyFont="1" applyBorder="1" applyAlignment="1">
      <alignment horizontal="center" vertical="center" wrapText="1"/>
      <protection/>
    </xf>
    <xf numFmtId="0" fontId="4" fillId="0" borderId="84" xfId="63" applyFont="1" applyBorder="1" applyAlignment="1">
      <alignment horizontal="center" vertical="center" wrapText="1"/>
      <protection/>
    </xf>
    <xf numFmtId="0" fontId="4" fillId="0" borderId="8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11" fillId="32" borderId="0" xfId="62" applyFont="1" applyFill="1" applyBorder="1" applyAlignment="1">
      <alignment vertical="center" wrapText="1"/>
      <protection/>
    </xf>
    <xf numFmtId="0" fontId="0" fillId="32" borderId="0" xfId="0" applyFill="1" applyAlignment="1">
      <alignment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5" fillId="0" borderId="21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2" fillId="0" borderId="0" xfId="0" applyFont="1" applyAlignment="1">
      <alignment horizont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13" fillId="0" borderId="13" xfId="55" applyFont="1" applyBorder="1" applyAlignment="1">
      <alignment horizontal="center"/>
      <protection/>
    </xf>
    <xf numFmtId="4" fontId="78" fillId="0" borderId="13" xfId="0" applyNumberFormat="1" applyFont="1" applyBorder="1" applyAlignment="1">
      <alignment horizontal="center" vertical="center"/>
    </xf>
    <xf numFmtId="0" fontId="27" fillId="0" borderId="39" xfId="55" applyFont="1" applyBorder="1" applyAlignment="1">
      <alignment horizontal="left" vertical="center"/>
      <protection/>
    </xf>
    <xf numFmtId="0" fontId="27" fillId="0" borderId="26" xfId="55" applyFont="1" applyBorder="1" applyAlignment="1">
      <alignment horizontal="left" vertical="center"/>
      <protection/>
    </xf>
    <xf numFmtId="0" fontId="26" fillId="0" borderId="21" xfId="55" applyFont="1" applyBorder="1" applyAlignment="1">
      <alignment horizontal="center" vertical="center"/>
      <protection/>
    </xf>
    <xf numFmtId="0" fontId="26" fillId="0" borderId="14" xfId="55" applyFont="1" applyBorder="1" applyAlignment="1">
      <alignment horizontal="center" vertical="center"/>
      <protection/>
    </xf>
  </cellXfs>
  <cellStyles count="66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_! СВОД калькуляция 2010 (с занесением данных от ЦФО) испр 24.11.09" xfId="61"/>
    <cellStyle name="Обычный_Приложение 1" xfId="62"/>
    <cellStyle name="Обычный_Смета  по методике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ормула_GRES.2007.5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4-12%20(18.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-4%20%20(&#1057;%20&#1040;&#1053;&#1040;&#1051;&#1048;&#1047;&#1054;&#1052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4-12%20(21.08.201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lobinaUA\Desktop\&#1060;2%20(&#1103;&#1085;&#1074;-&#1089;&#1077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 "/>
      <sheetName val="Приложение 5 (НВВ) без льгот."/>
      <sheetName val="Приложение 6 (кальк) "/>
      <sheetName val="Таблица 7 .1"/>
      <sheetName val="Таблица 7.2"/>
      <sheetName val="Таблица 7.3 Подг ТУ"/>
      <sheetName val="Таблица 7.4 Выполнение ТУ"/>
      <sheetName val="Таблица 7.5 Ростехнадзор"/>
      <sheetName val="Таблица 7.6 факт присоед"/>
      <sheetName val="Таблица 7.7 прям"/>
      <sheetName val="Таблица 7.8 косв"/>
      <sheetName val="Приложение 8 инвест за 3 года "/>
      <sheetName val="Приложение 9 СТС (ставки платы)"/>
      <sheetName val="Приложение 9 СТС"/>
      <sheetName val="Расчет Удельных прил.9.1. "/>
      <sheetName val="Прил. 10.1. Выпадающие до 15"/>
      <sheetName val="10.1.1."/>
      <sheetName val="10.1.2."/>
      <sheetName val="Прил.10.2. от 15 до 150 "/>
      <sheetName val="Прил.10.3."/>
      <sheetName val="Прил.11 АНАЛИЗ"/>
      <sheetName val="Прил.12 Анализ производства"/>
      <sheetName val="Калькуляции"/>
      <sheetName val="Себ.+26 счет"/>
      <sheetName val="Управленч.2016"/>
      <sheetName val="Сч.23,25,26"/>
      <sheetName val="Когнос"/>
      <sheetName val="Прочие ДиР"/>
      <sheetName val="ПДР (расшиф)"/>
      <sheetName val="Управл"/>
      <sheetName val="Прочие"/>
      <sheetName val="До 15 кВт"/>
      <sheetName val="Транспортные"/>
      <sheetName val="ВЛ"/>
      <sheetName val="КЛ"/>
      <sheetName val="КТП, ПС"/>
    </sheetNames>
    <sheetDataSet>
      <sheetData sheetId="3">
        <row r="53">
          <cell r="F53">
            <v>19929.481897600002</v>
          </cell>
        </row>
        <row r="59">
          <cell r="F59">
            <v>4938.222364416</v>
          </cell>
        </row>
        <row r="62">
          <cell r="F62">
            <v>3759.459451823417</v>
          </cell>
        </row>
        <row r="84">
          <cell r="F84">
            <v>13845.086035200002</v>
          </cell>
        </row>
        <row r="87">
          <cell r="F87">
            <v>9552.157951439998</v>
          </cell>
        </row>
        <row r="96">
          <cell r="F96">
            <v>34344.00493528211</v>
          </cell>
        </row>
        <row r="114">
          <cell r="F114">
            <v>8747.575437356592</v>
          </cell>
        </row>
        <row r="115">
          <cell r="F115">
            <v>1424.7141989185247</v>
          </cell>
        </row>
        <row r="121">
          <cell r="F121">
            <v>71611.39672997707</v>
          </cell>
        </row>
        <row r="123">
          <cell r="F123">
            <v>12931.116992554224</v>
          </cell>
        </row>
        <row r="125">
          <cell r="F125">
            <v>13207.843328401703</v>
          </cell>
        </row>
        <row r="126">
          <cell r="F126">
            <v>8711.887112218239</v>
          </cell>
        </row>
      </sheetData>
      <sheetData sheetId="14">
        <row r="10">
          <cell r="AH10">
            <v>263338.82</v>
          </cell>
          <cell r="AI10">
            <v>320372.88</v>
          </cell>
        </row>
        <row r="13">
          <cell r="AH13">
            <v>278341.52</v>
          </cell>
          <cell r="AI13">
            <v>320372.88</v>
          </cell>
        </row>
        <row r="16">
          <cell r="AH16">
            <v>394074.18</v>
          </cell>
          <cell r="AI16">
            <v>479692</v>
          </cell>
        </row>
        <row r="27">
          <cell r="AI27">
            <v>467692.81</v>
          </cell>
        </row>
        <row r="42">
          <cell r="AH42">
            <v>184424.1</v>
          </cell>
          <cell r="AI42">
            <v>467692.81</v>
          </cell>
        </row>
        <row r="57">
          <cell r="AH57">
            <v>324276.71</v>
          </cell>
          <cell r="AI57">
            <v>715783.52</v>
          </cell>
        </row>
        <row r="72">
          <cell r="AH72">
            <v>386497.92</v>
          </cell>
          <cell r="AI72">
            <v>884962.43</v>
          </cell>
        </row>
        <row r="102">
          <cell r="AH102">
            <v>10423.784094610928</v>
          </cell>
        </row>
        <row r="103">
          <cell r="AH103">
            <v>1882.2586597604402</v>
          </cell>
        </row>
        <row r="104">
          <cell r="AH104">
            <v>1922.539057991514</v>
          </cell>
        </row>
        <row r="105">
          <cell r="AH105">
            <v>1268.1058387508353</v>
          </cell>
        </row>
        <row r="110">
          <cell r="AH110">
            <v>1273.300645903434</v>
          </cell>
        </row>
        <row r="111">
          <cell r="AH111">
            <v>207.38197946412296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Анализ"/>
      <sheetName val="Приложение 1 _1"/>
      <sheetName val="Приложение 1 _2"/>
      <sheetName val="Приложение 1 _3"/>
      <sheetName val="Приложение 2"/>
      <sheetName val="Приложение 3 "/>
      <sheetName val="НВВ2013-2015"/>
      <sheetName val="НВВ 2016"/>
      <sheetName val="Приложение 4 "/>
      <sheetName val="Приложение 4 (АЭ)"/>
      <sheetName val="Расчет доли"/>
      <sheetName val="Производство"/>
    </sheetNames>
    <sheetDataSet>
      <sheetData sheetId="2">
        <row r="9">
          <cell r="V9">
            <v>15.638</v>
          </cell>
          <cell r="W9">
            <v>964.74</v>
          </cell>
          <cell r="X9">
            <v>14017.857109999997</v>
          </cell>
        </row>
        <row r="10">
          <cell r="V10">
            <v>20.721500000000006</v>
          </cell>
          <cell r="W10">
            <v>1919.5</v>
          </cell>
          <cell r="X10">
            <v>20944.68221000001</v>
          </cell>
        </row>
        <row r="11">
          <cell r="V11">
            <v>17.906000000000002</v>
          </cell>
          <cell r="W11">
            <v>1349</v>
          </cell>
          <cell r="X11">
            <v>14411.097940000005</v>
          </cell>
        </row>
        <row r="14">
          <cell r="V14">
            <v>0.22</v>
          </cell>
          <cell r="W14">
            <v>15</v>
          </cell>
          <cell r="X14">
            <v>127.42538</v>
          </cell>
        </row>
        <row r="15">
          <cell r="V15">
            <v>0.035</v>
          </cell>
          <cell r="W15">
            <v>6</v>
          </cell>
          <cell r="X15">
            <v>68.4473</v>
          </cell>
        </row>
        <row r="18">
          <cell r="V18">
            <v>31</v>
          </cell>
          <cell r="W18">
            <v>31</v>
          </cell>
          <cell r="X18">
            <v>1243.16183</v>
          </cell>
        </row>
        <row r="19">
          <cell r="V19">
            <v>187</v>
          </cell>
          <cell r="W19">
            <v>187</v>
          </cell>
          <cell r="X19">
            <v>6647.23527</v>
          </cell>
        </row>
        <row r="20">
          <cell r="V20">
            <v>389</v>
          </cell>
          <cell r="W20">
            <v>389</v>
          </cell>
          <cell r="X20">
            <v>11238.936889999999</v>
          </cell>
        </row>
        <row r="21">
          <cell r="V21">
            <v>117</v>
          </cell>
          <cell r="W21">
            <v>117</v>
          </cell>
          <cell r="X21">
            <v>1228.61065</v>
          </cell>
        </row>
        <row r="22">
          <cell r="V22">
            <v>428</v>
          </cell>
          <cell r="W22">
            <v>428</v>
          </cell>
          <cell r="X22">
            <v>8805.69019</v>
          </cell>
        </row>
        <row r="29">
          <cell r="V29">
            <v>0.108</v>
          </cell>
          <cell r="W29">
            <v>50</v>
          </cell>
          <cell r="X29">
            <v>204.06337</v>
          </cell>
        </row>
        <row r="31">
          <cell r="V31">
            <v>0.384</v>
          </cell>
          <cell r="W31">
            <v>306</v>
          </cell>
          <cell r="X31">
            <v>256.08154</v>
          </cell>
        </row>
        <row r="32">
          <cell r="V32">
            <v>1.334</v>
          </cell>
          <cell r="W32">
            <v>150</v>
          </cell>
          <cell r="X32">
            <v>739.844</v>
          </cell>
        </row>
        <row r="33">
          <cell r="V33">
            <v>0.29</v>
          </cell>
          <cell r="W33">
            <v>50</v>
          </cell>
          <cell r="X33">
            <v>230.20643</v>
          </cell>
        </row>
        <row r="34">
          <cell r="V34">
            <v>0.54</v>
          </cell>
          <cell r="W34">
            <v>100</v>
          </cell>
          <cell r="X34">
            <v>586.61389</v>
          </cell>
        </row>
        <row r="40">
          <cell r="V40">
            <v>1.424</v>
          </cell>
          <cell r="W40">
            <v>500</v>
          </cell>
          <cell r="X40">
            <v>1511.11903</v>
          </cell>
        </row>
        <row r="47">
          <cell r="V47">
            <v>0.296</v>
          </cell>
          <cell r="W47">
            <v>80</v>
          </cell>
          <cell r="X47">
            <v>731.12283</v>
          </cell>
        </row>
        <row r="52">
          <cell r="V52">
            <v>650</v>
          </cell>
          <cell r="W52">
            <v>650</v>
          </cell>
          <cell r="X52">
            <v>2099.40446</v>
          </cell>
        </row>
        <row r="54">
          <cell r="V54">
            <v>10918.3</v>
          </cell>
          <cell r="W54">
            <v>10918.3</v>
          </cell>
          <cell r="X54">
            <v>5296.27441</v>
          </cell>
        </row>
        <row r="58">
          <cell r="V58">
            <v>95</v>
          </cell>
          <cell r="W58">
            <v>95</v>
          </cell>
          <cell r="X58">
            <v>588.72161</v>
          </cell>
        </row>
        <row r="59">
          <cell r="W59">
            <v>288</v>
          </cell>
          <cell r="X59">
            <v>3431.85127</v>
          </cell>
        </row>
        <row r="60">
          <cell r="V60">
            <v>220</v>
          </cell>
          <cell r="W60">
            <v>220</v>
          </cell>
          <cell r="X60">
            <v>1793.6461</v>
          </cell>
        </row>
        <row r="64">
          <cell r="V64">
            <v>415</v>
          </cell>
          <cell r="W64">
            <v>415</v>
          </cell>
          <cell r="X64">
            <v>1687.45784</v>
          </cell>
        </row>
        <row r="65">
          <cell r="V65">
            <v>178</v>
          </cell>
          <cell r="W65">
            <v>178</v>
          </cell>
          <cell r="X65">
            <v>5395.90545</v>
          </cell>
        </row>
        <row r="66">
          <cell r="V66">
            <v>622</v>
          </cell>
          <cell r="W66">
            <v>622</v>
          </cell>
          <cell r="X66">
            <v>6059.43421</v>
          </cell>
        </row>
        <row r="70">
          <cell r="V70">
            <v>2550</v>
          </cell>
          <cell r="W70">
            <v>2550</v>
          </cell>
          <cell r="X70">
            <v>32404.55843</v>
          </cell>
        </row>
      </sheetData>
      <sheetData sheetId="3">
        <row r="10">
          <cell r="AC10">
            <v>17.054999999999996</v>
          </cell>
          <cell r="AD10">
            <v>982.2800000000001</v>
          </cell>
          <cell r="AE10">
            <v>13575.35745</v>
          </cell>
        </row>
        <row r="11">
          <cell r="AC11">
            <v>23.171999999999993</v>
          </cell>
          <cell r="AD11">
            <v>2262.48</v>
          </cell>
          <cell r="AE11">
            <v>20130.227540000004</v>
          </cell>
        </row>
        <row r="12">
          <cell r="AC12">
            <v>16.202</v>
          </cell>
          <cell r="AD12">
            <v>1640.7</v>
          </cell>
          <cell r="AE12">
            <v>11399.343449999998</v>
          </cell>
        </row>
        <row r="15">
          <cell r="AC15">
            <v>0.105</v>
          </cell>
          <cell r="AD15">
            <v>15</v>
          </cell>
          <cell r="AE15">
            <v>233.65361</v>
          </cell>
        </row>
        <row r="16">
          <cell r="AC16">
            <v>2.1940000000000004</v>
          </cell>
          <cell r="AD16">
            <v>135</v>
          </cell>
          <cell r="AE16">
            <v>2583.3750600000003</v>
          </cell>
        </row>
        <row r="17">
          <cell r="AC17">
            <v>2.485</v>
          </cell>
          <cell r="AD17">
            <v>255</v>
          </cell>
          <cell r="AE17">
            <v>2493.49414</v>
          </cell>
        </row>
        <row r="20">
          <cell r="AC20">
            <v>47</v>
          </cell>
          <cell r="AD20">
            <v>47</v>
          </cell>
          <cell r="AE20">
            <v>3408.31877</v>
          </cell>
        </row>
        <row r="21">
          <cell r="AC21">
            <v>405</v>
          </cell>
          <cell r="AD21">
            <v>405</v>
          </cell>
          <cell r="AE21">
            <v>17697.26624</v>
          </cell>
        </row>
        <row r="22">
          <cell r="AC22">
            <v>1236</v>
          </cell>
          <cell r="AD22">
            <v>1236</v>
          </cell>
          <cell r="AE22">
            <v>20009.50189</v>
          </cell>
        </row>
        <row r="23">
          <cell r="AC23">
            <v>0</v>
          </cell>
          <cell r="AD23">
            <v>0</v>
          </cell>
          <cell r="AE23">
            <v>0</v>
          </cell>
        </row>
        <row r="24">
          <cell r="AC24">
            <v>0</v>
          </cell>
          <cell r="AD24">
            <v>0</v>
          </cell>
          <cell r="AE24">
            <v>0</v>
          </cell>
        </row>
        <row r="37">
          <cell r="AC37">
            <v>0.546</v>
          </cell>
          <cell r="AD37">
            <v>181</v>
          </cell>
          <cell r="AE37">
            <v>503.45015</v>
          </cell>
        </row>
        <row r="39">
          <cell r="AC39">
            <v>0.07</v>
          </cell>
          <cell r="AD39">
            <v>45</v>
          </cell>
          <cell r="AE39">
            <v>91.15278</v>
          </cell>
        </row>
        <row r="45">
          <cell r="AC45">
            <v>0.262</v>
          </cell>
          <cell r="AD45">
            <v>250</v>
          </cell>
          <cell r="AE45">
            <v>342.91054</v>
          </cell>
        </row>
        <row r="46">
          <cell r="AC46">
            <v>0.79</v>
          </cell>
          <cell r="AD46">
            <v>411</v>
          </cell>
          <cell r="AE46">
            <v>1623.6138199999998</v>
          </cell>
        </row>
        <row r="47">
          <cell r="AC47">
            <v>0.12</v>
          </cell>
          <cell r="AD47">
            <v>260.75</v>
          </cell>
          <cell r="AE47">
            <v>321.78024</v>
          </cell>
        </row>
        <row r="48">
          <cell r="AC48">
            <v>0.6970000000000001</v>
          </cell>
          <cell r="AD48">
            <v>780</v>
          </cell>
          <cell r="AE48">
            <v>4103.82746</v>
          </cell>
        </row>
        <row r="53">
          <cell r="AC53">
            <v>29.799</v>
          </cell>
          <cell r="AD53">
            <v>2510</v>
          </cell>
          <cell r="AE53">
            <v>71685.71376343585</v>
          </cell>
        </row>
        <row r="55">
          <cell r="AC55">
            <v>0.087</v>
          </cell>
          <cell r="AD55">
            <v>850</v>
          </cell>
          <cell r="AE55">
            <v>2373.17877</v>
          </cell>
        </row>
        <row r="58">
          <cell r="AC58">
            <v>260.75</v>
          </cell>
          <cell r="AD58">
            <v>260.75</v>
          </cell>
          <cell r="AE58">
            <v>411.90103</v>
          </cell>
        </row>
        <row r="60">
          <cell r="AC60">
            <v>988.74</v>
          </cell>
          <cell r="AD60">
            <v>988.74</v>
          </cell>
          <cell r="AE60">
            <v>695.21821</v>
          </cell>
        </row>
        <row r="64">
          <cell r="AC64">
            <v>15</v>
          </cell>
          <cell r="AD64">
            <v>15</v>
          </cell>
          <cell r="AE64">
            <v>593.7371899999999</v>
          </cell>
        </row>
        <row r="70">
          <cell r="AC70">
            <v>35</v>
          </cell>
          <cell r="AD70">
            <v>35</v>
          </cell>
          <cell r="AE70">
            <v>456.37802</v>
          </cell>
        </row>
        <row r="71">
          <cell r="AC71">
            <v>582</v>
          </cell>
          <cell r="AD71">
            <v>582</v>
          </cell>
          <cell r="AE71">
            <v>3299.8439900000003</v>
          </cell>
        </row>
        <row r="72">
          <cell r="AC72">
            <v>0</v>
          </cell>
          <cell r="AD72">
            <v>0</v>
          </cell>
          <cell r="AE72">
            <v>0</v>
          </cell>
        </row>
        <row r="76">
          <cell r="AC76">
            <v>424.2</v>
          </cell>
          <cell r="AD76">
            <v>424.2</v>
          </cell>
          <cell r="AE76">
            <v>2166.24624</v>
          </cell>
        </row>
        <row r="77">
          <cell r="AC77">
            <v>500</v>
          </cell>
          <cell r="AD77">
            <v>500</v>
          </cell>
          <cell r="AE77">
            <v>4031.45505</v>
          </cell>
        </row>
        <row r="78">
          <cell r="AC78">
            <v>846</v>
          </cell>
          <cell r="AD78">
            <v>846</v>
          </cell>
          <cell r="AE78">
            <v>11587.05709</v>
          </cell>
        </row>
        <row r="81">
          <cell r="AD81">
            <v>2000</v>
          </cell>
          <cell r="AE81">
            <v>19676.3937</v>
          </cell>
        </row>
      </sheetData>
      <sheetData sheetId="4">
        <row r="10">
          <cell r="Z10">
            <v>10.962</v>
          </cell>
          <cell r="AA10">
            <v>868</v>
          </cell>
          <cell r="AB10">
            <v>9364</v>
          </cell>
        </row>
        <row r="11">
          <cell r="Z11">
            <v>10.073000000000006</v>
          </cell>
          <cell r="AA11">
            <v>923.24</v>
          </cell>
          <cell r="AB11">
            <v>6644</v>
          </cell>
        </row>
        <row r="12">
          <cell r="Z12">
            <v>12.171000000000005</v>
          </cell>
          <cell r="AA12">
            <v>804.12</v>
          </cell>
          <cell r="AB12">
            <v>8322</v>
          </cell>
        </row>
        <row r="15">
          <cell r="Z15">
            <v>0.513</v>
          </cell>
          <cell r="AA15">
            <v>15</v>
          </cell>
          <cell r="AB15">
            <v>501</v>
          </cell>
        </row>
        <row r="16">
          <cell r="Z16">
            <v>3.0149999999999997</v>
          </cell>
          <cell r="AA16">
            <v>130</v>
          </cell>
          <cell r="AB16">
            <v>2379</v>
          </cell>
        </row>
        <row r="17">
          <cell r="Z17">
            <v>2.492</v>
          </cell>
          <cell r="AA17">
            <v>172</v>
          </cell>
          <cell r="AB17">
            <v>1963</v>
          </cell>
        </row>
        <row r="20">
          <cell r="AA20">
            <v>5</v>
          </cell>
          <cell r="AB20">
            <v>239</v>
          </cell>
        </row>
        <row r="21">
          <cell r="AA21">
            <v>278</v>
          </cell>
          <cell r="AB21">
            <v>11900</v>
          </cell>
        </row>
        <row r="22">
          <cell r="AA22">
            <v>672.5</v>
          </cell>
          <cell r="AB22">
            <v>17933</v>
          </cell>
        </row>
        <row r="23">
          <cell r="AA23">
            <v>582</v>
          </cell>
          <cell r="AB23">
            <v>13018</v>
          </cell>
        </row>
        <row r="24">
          <cell r="AA24">
            <v>40</v>
          </cell>
          <cell r="AB24">
            <v>8788</v>
          </cell>
        </row>
        <row r="25">
          <cell r="AA25">
            <v>0</v>
          </cell>
          <cell r="AB25">
            <v>13159</v>
          </cell>
        </row>
        <row r="32">
          <cell r="Z32">
            <v>0.172</v>
          </cell>
          <cell r="AA32">
            <v>8</v>
          </cell>
          <cell r="AB32">
            <v>34</v>
          </cell>
        </row>
        <row r="37">
          <cell r="Z37">
            <v>2.467</v>
          </cell>
          <cell r="AA37">
            <v>149</v>
          </cell>
          <cell r="AB37">
            <v>1742</v>
          </cell>
        </row>
        <row r="39">
          <cell r="Z39">
            <v>0.65</v>
          </cell>
          <cell r="AA39">
            <v>130</v>
          </cell>
          <cell r="AB39">
            <v>572</v>
          </cell>
        </row>
        <row r="48">
          <cell r="Z48">
            <v>0.06</v>
          </cell>
          <cell r="AA48">
            <v>271</v>
          </cell>
          <cell r="AB48">
            <v>848</v>
          </cell>
        </row>
        <row r="50">
          <cell r="Z50">
            <v>0.868</v>
          </cell>
          <cell r="AA50">
            <v>250</v>
          </cell>
          <cell r="AB50">
            <v>844</v>
          </cell>
        </row>
        <row r="54">
          <cell r="Z54">
            <v>0.272</v>
          </cell>
          <cell r="AA54">
            <v>20</v>
          </cell>
          <cell r="AB54">
            <v>208</v>
          </cell>
        </row>
        <row r="58">
          <cell r="AB58">
            <v>2100</v>
          </cell>
        </row>
        <row r="60">
          <cell r="Z60">
            <v>0.848</v>
          </cell>
          <cell r="AA60">
            <v>555</v>
          </cell>
        </row>
        <row r="62">
          <cell r="Z62">
            <v>0.528</v>
          </cell>
          <cell r="AA62">
            <v>966</v>
          </cell>
          <cell r="AB62">
            <v>2898</v>
          </cell>
        </row>
        <row r="66">
          <cell r="Z66">
            <v>228</v>
          </cell>
          <cell r="AA66">
            <v>228</v>
          </cell>
          <cell r="AB66">
            <v>2023</v>
          </cell>
        </row>
        <row r="72">
          <cell r="Z72">
            <v>35</v>
          </cell>
          <cell r="AA72">
            <v>35</v>
          </cell>
          <cell r="AB72">
            <v>1483</v>
          </cell>
        </row>
        <row r="73">
          <cell r="Z73">
            <v>365</v>
          </cell>
          <cell r="AA73">
            <v>365</v>
          </cell>
          <cell r="AB73">
            <v>3918</v>
          </cell>
        </row>
        <row r="74">
          <cell r="Z74">
            <v>100</v>
          </cell>
          <cell r="AA74">
            <v>100</v>
          </cell>
          <cell r="AB74">
            <v>1400</v>
          </cell>
        </row>
        <row r="78">
          <cell r="Z78">
            <v>200</v>
          </cell>
          <cell r="AA78">
            <v>200</v>
          </cell>
          <cell r="AB78">
            <v>2352</v>
          </cell>
        </row>
        <row r="79">
          <cell r="Z79">
            <v>250</v>
          </cell>
          <cell r="AA79">
            <v>250</v>
          </cell>
          <cell r="AB79">
            <v>437</v>
          </cell>
        </row>
        <row r="80">
          <cell r="Z80">
            <v>825.6</v>
          </cell>
          <cell r="AA80">
            <v>825.6</v>
          </cell>
          <cell r="AB80">
            <v>28947</v>
          </cell>
        </row>
        <row r="81">
          <cell r="Z81">
            <v>850</v>
          </cell>
          <cell r="AA81">
            <v>850</v>
          </cell>
          <cell r="AB81">
            <v>13159</v>
          </cell>
        </row>
        <row r="400">
          <cell r="S400">
            <v>5</v>
          </cell>
        </row>
        <row r="402">
          <cell r="S402">
            <v>278</v>
          </cell>
        </row>
        <row r="430">
          <cell r="S430">
            <v>672.5</v>
          </cell>
        </row>
        <row r="493">
          <cell r="S493">
            <v>582</v>
          </cell>
        </row>
        <row r="564">
          <cell r="S564">
            <v>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 "/>
      <sheetName val="Приложение 5 (НВВ) без льгот."/>
      <sheetName val="Приложение 6 (кальк) "/>
      <sheetName val="Таблица 7 .1"/>
      <sheetName val="Таблица 7.2"/>
      <sheetName val="Таблица 7.3 Подг ТУ"/>
      <sheetName val="Таблица 7.4 Выполнение ТУ"/>
      <sheetName val="Таблица 7.5 Ростехнадзор"/>
      <sheetName val="Таблица 7.6 факт присоед"/>
      <sheetName val="Таблица 7.7 прям"/>
      <sheetName val="Таблица 7.8 косв"/>
      <sheetName val="Приложение 8 инвест за 3 года "/>
      <sheetName val="Приложение 9 СТС (ставки платы)"/>
      <sheetName val="Приложение 9 СТС"/>
      <sheetName val="Расчет Удельных прил.9.1. "/>
      <sheetName val="Прил. 10.1. Выпадающие до 15"/>
      <sheetName val="10.1.1."/>
      <sheetName val="10.1.2."/>
      <sheetName val="Прил.10.2. от 15 до 150 "/>
      <sheetName val="Прил.10.3."/>
      <sheetName val="Прил.11 АНАЛИЗ"/>
      <sheetName val="Прил.12 Анализ производства"/>
      <sheetName val="Калькуляции"/>
      <sheetName val="Себ.+26 счет"/>
      <sheetName val="Управленч.2016"/>
      <sheetName val="Сч.23,25,26"/>
      <sheetName val="Когнос"/>
      <sheetName val="Прочие ДиР"/>
      <sheetName val="ПДР (расшиф)"/>
      <sheetName val="Управл"/>
      <sheetName val="Прочие"/>
      <sheetName val="До 15 кВт"/>
      <sheetName val="Транспортные"/>
      <sheetName val="ВЛ"/>
      <sheetName val="КЛ"/>
      <sheetName val="КТП, ПС"/>
    </sheetNames>
    <sheetDataSet>
      <sheetData sheetId="3">
        <row r="53">
          <cell r="F53">
            <v>6067.050747468716</v>
          </cell>
        </row>
        <row r="56">
          <cell r="F56">
            <v>10544.11222656</v>
          </cell>
        </row>
      </sheetData>
      <sheetData sheetId="13">
        <row r="32">
          <cell r="AH32">
            <v>1331.7725440939794</v>
          </cell>
          <cell r="AI32">
            <v>5290.796289275601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"/>
      <sheetName val="форма 2 (поименный)"/>
    </sheetNames>
    <sheetDataSet>
      <sheetData sheetId="0">
        <row r="13">
          <cell r="J13">
            <v>3719</v>
          </cell>
          <cell r="K13">
            <v>34580.07</v>
          </cell>
          <cell r="L13">
            <v>33</v>
          </cell>
          <cell r="M13">
            <v>356.25</v>
          </cell>
          <cell r="AO13">
            <v>2866</v>
          </cell>
          <cell r="AP13">
            <v>26801.480000000003</v>
          </cell>
          <cell r="AQ13">
            <v>16</v>
          </cell>
          <cell r="AR13">
            <v>189</v>
          </cell>
        </row>
        <row r="14">
          <cell r="J14">
            <v>3204</v>
          </cell>
          <cell r="K14">
            <v>30408.8</v>
          </cell>
          <cell r="L14">
            <v>15</v>
          </cell>
          <cell r="M14">
            <v>203</v>
          </cell>
          <cell r="AO14">
            <v>2500</v>
          </cell>
          <cell r="AP14">
            <v>23836.800000000003</v>
          </cell>
          <cell r="AQ14">
            <v>9</v>
          </cell>
          <cell r="AR14">
            <v>113</v>
          </cell>
        </row>
        <row r="15">
          <cell r="J15">
            <v>265</v>
          </cell>
          <cell r="K15">
            <v>13886.94</v>
          </cell>
          <cell r="L15">
            <v>124</v>
          </cell>
          <cell r="M15">
            <v>9505.95</v>
          </cell>
          <cell r="O15">
            <v>0</v>
          </cell>
          <cell r="AO15">
            <v>82</v>
          </cell>
          <cell r="AP15">
            <v>4114.9800000000005</v>
          </cell>
          <cell r="AQ15">
            <v>44</v>
          </cell>
          <cell r="AR15">
            <v>3692</v>
          </cell>
        </row>
        <row r="16">
          <cell r="J16">
            <v>152</v>
          </cell>
          <cell r="K16">
            <v>8907.28</v>
          </cell>
          <cell r="L16">
            <v>64</v>
          </cell>
          <cell r="M16">
            <v>5211.52</v>
          </cell>
          <cell r="AO16">
            <v>23</v>
          </cell>
          <cell r="AP16">
            <v>1540.18</v>
          </cell>
          <cell r="AQ16">
            <v>12</v>
          </cell>
          <cell r="AR16">
            <v>1173</v>
          </cell>
        </row>
        <row r="18">
          <cell r="J18">
            <v>38</v>
          </cell>
          <cell r="K18">
            <v>12660</v>
          </cell>
          <cell r="L18">
            <v>47</v>
          </cell>
          <cell r="M18">
            <v>16370.3</v>
          </cell>
          <cell r="AO18">
            <v>7</v>
          </cell>
          <cell r="AP18">
            <v>2516</v>
          </cell>
          <cell r="AQ18">
            <v>3</v>
          </cell>
          <cell r="AR18">
            <v>1364</v>
          </cell>
        </row>
        <row r="19">
          <cell r="J19">
            <v>2</v>
          </cell>
          <cell r="K19">
            <v>1468</v>
          </cell>
          <cell r="L19">
            <v>20</v>
          </cell>
          <cell r="M19">
            <v>65680</v>
          </cell>
          <cell r="N19">
            <v>4</v>
          </cell>
          <cell r="O19">
            <v>125130.8</v>
          </cell>
          <cell r="AP19">
            <v>734</v>
          </cell>
          <cell r="AQ19">
            <v>1</v>
          </cell>
          <cell r="AR19">
            <v>1200</v>
          </cell>
          <cell r="AT19">
            <v>10000</v>
          </cell>
        </row>
        <row r="20">
          <cell r="L20">
            <v>3</v>
          </cell>
          <cell r="M20">
            <v>45000</v>
          </cell>
          <cell r="AQ20">
            <v>1</v>
          </cell>
          <cell r="AR20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c@a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405" t="s">
        <v>203</v>
      </c>
      <c r="G1" s="405"/>
      <c r="H1" s="405"/>
      <c r="I1" s="405"/>
    </row>
    <row r="2" spans="1:9" ht="31.5" customHeight="1">
      <c r="A2" s="2"/>
      <c r="B2" s="2"/>
      <c r="C2" s="2"/>
      <c r="D2" s="2"/>
      <c r="E2" s="2"/>
      <c r="F2" s="402" t="s">
        <v>89</v>
      </c>
      <c r="G2" s="402"/>
      <c r="H2" s="402"/>
      <c r="I2" s="40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403" t="s">
        <v>90</v>
      </c>
      <c r="B6" s="403"/>
      <c r="C6" s="403"/>
      <c r="D6" s="403"/>
      <c r="E6" s="403"/>
      <c r="F6" s="403"/>
      <c r="G6" s="403"/>
      <c r="H6" s="403"/>
      <c r="I6" s="403"/>
    </row>
    <row r="7" spans="1:9" ht="18.75">
      <c r="A7" s="403" t="s">
        <v>91</v>
      </c>
      <c r="B7" s="403"/>
      <c r="C7" s="403"/>
      <c r="D7" s="403"/>
      <c r="E7" s="403"/>
      <c r="F7" s="403"/>
      <c r="G7" s="403"/>
      <c r="H7" s="403"/>
      <c r="I7" s="403"/>
    </row>
    <row r="8" spans="1:9" ht="18.75" customHeight="1">
      <c r="A8" s="404" t="s">
        <v>238</v>
      </c>
      <c r="B8" s="404"/>
      <c r="C8" s="404"/>
      <c r="D8" s="404"/>
      <c r="E8" s="404"/>
      <c r="F8" s="404"/>
      <c r="G8" s="404"/>
      <c r="H8" s="404"/>
      <c r="I8" s="404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49" t="s">
        <v>92</v>
      </c>
      <c r="B11" s="47"/>
      <c r="C11" s="47"/>
      <c r="D11" s="48"/>
      <c r="E11" s="400" t="s">
        <v>239</v>
      </c>
      <c r="F11" s="400"/>
      <c r="G11" s="400"/>
      <c r="H11" s="400"/>
      <c r="I11" s="400"/>
    </row>
    <row r="12" spans="1:9" ht="18.75">
      <c r="A12" s="5"/>
      <c r="B12" s="5"/>
      <c r="C12" s="5"/>
      <c r="D12" s="5"/>
      <c r="E12" s="22"/>
      <c r="F12" s="22"/>
      <c r="G12" s="22"/>
      <c r="H12" s="22"/>
      <c r="I12" s="22"/>
    </row>
    <row r="13" spans="1:9" ht="18.75">
      <c r="A13" s="47" t="s">
        <v>93</v>
      </c>
      <c r="B13" s="47"/>
      <c r="C13" s="47"/>
      <c r="D13" s="48"/>
      <c r="E13" s="399" t="s">
        <v>240</v>
      </c>
      <c r="F13" s="399"/>
      <c r="G13" s="399"/>
      <c r="H13" s="399"/>
      <c r="I13" s="399"/>
    </row>
    <row r="14" spans="1:9" ht="18.75">
      <c r="A14" s="5"/>
      <c r="B14" s="5"/>
      <c r="C14" s="5"/>
      <c r="D14" s="5"/>
      <c r="E14" s="22"/>
      <c r="F14" s="22"/>
      <c r="G14" s="22"/>
      <c r="H14" s="22"/>
      <c r="I14" s="22"/>
    </row>
    <row r="15" spans="1:9" ht="15.75">
      <c r="A15" s="396" t="s">
        <v>94</v>
      </c>
      <c r="B15" s="396"/>
      <c r="C15" s="396"/>
      <c r="D15" s="396"/>
      <c r="E15" s="399" t="s">
        <v>241</v>
      </c>
      <c r="F15" s="399"/>
      <c r="G15" s="399"/>
      <c r="H15" s="399"/>
      <c r="I15" s="399"/>
    </row>
    <row r="16" spans="1:9" ht="18.75">
      <c r="A16" s="5"/>
      <c r="B16" s="5"/>
      <c r="C16" s="5"/>
      <c r="D16" s="5"/>
      <c r="E16" s="22"/>
      <c r="F16" s="22"/>
      <c r="G16" s="22"/>
      <c r="H16" s="22"/>
      <c r="I16" s="22"/>
    </row>
    <row r="17" spans="1:9" ht="15.75">
      <c r="A17" s="396" t="s">
        <v>95</v>
      </c>
      <c r="B17" s="396"/>
      <c r="C17" s="396"/>
      <c r="D17" s="396"/>
      <c r="E17" s="399" t="s">
        <v>102</v>
      </c>
      <c r="F17" s="399"/>
      <c r="G17" s="399"/>
      <c r="H17" s="399"/>
      <c r="I17" s="399"/>
    </row>
    <row r="18" spans="1:10" ht="18.75">
      <c r="A18" s="5"/>
      <c r="B18" s="5"/>
      <c r="C18" s="5"/>
      <c r="D18" s="5"/>
      <c r="E18" s="22"/>
      <c r="F18" s="22"/>
      <c r="G18" s="22"/>
      <c r="H18" s="22"/>
      <c r="I18" s="22"/>
      <c r="J18" s="37"/>
    </row>
    <row r="19" spans="1:9" ht="15.75">
      <c r="A19" s="396" t="s">
        <v>96</v>
      </c>
      <c r="B19" s="396"/>
      <c r="C19" s="396"/>
      <c r="D19" s="396"/>
      <c r="E19" s="399">
        <v>6164266561</v>
      </c>
      <c r="F19" s="399"/>
      <c r="G19" s="399"/>
      <c r="H19" s="399"/>
      <c r="I19" s="399"/>
    </row>
    <row r="20" spans="1:9" ht="18.75">
      <c r="A20" s="5"/>
      <c r="B20" s="5"/>
      <c r="C20" s="5"/>
      <c r="D20" s="5"/>
      <c r="E20" s="22"/>
      <c r="F20" s="22"/>
      <c r="G20" s="22"/>
      <c r="H20" s="22"/>
      <c r="I20" s="22"/>
    </row>
    <row r="21" spans="1:9" ht="15.75">
      <c r="A21" s="396" t="s">
        <v>97</v>
      </c>
      <c r="B21" s="396"/>
      <c r="C21" s="396"/>
      <c r="D21" s="396"/>
      <c r="E21" s="399">
        <v>616401001</v>
      </c>
      <c r="F21" s="399"/>
      <c r="G21" s="399"/>
      <c r="H21" s="399"/>
      <c r="I21" s="399"/>
    </row>
    <row r="22" spans="1:9" ht="18.75">
      <c r="A22" s="5"/>
      <c r="B22" s="5"/>
      <c r="C22" s="5"/>
      <c r="D22" s="5"/>
      <c r="E22" s="22"/>
      <c r="F22" s="22"/>
      <c r="G22" s="22"/>
      <c r="H22" s="22"/>
      <c r="I22" s="22"/>
    </row>
    <row r="23" spans="1:9" ht="63.75" customHeight="1">
      <c r="A23" s="397" t="s">
        <v>98</v>
      </c>
      <c r="B23" s="397"/>
      <c r="C23" s="397"/>
      <c r="D23" s="397"/>
      <c r="E23" s="400" t="s">
        <v>243</v>
      </c>
      <c r="F23" s="400"/>
      <c r="G23" s="400"/>
      <c r="H23" s="400"/>
      <c r="I23" s="400"/>
    </row>
    <row r="24" spans="1:9" ht="18.75">
      <c r="A24" s="5"/>
      <c r="B24" s="5"/>
      <c r="C24" s="5"/>
      <c r="D24" s="5"/>
      <c r="E24" s="22"/>
      <c r="F24" s="22"/>
      <c r="G24" s="22"/>
      <c r="H24" s="22"/>
      <c r="I24" s="22"/>
    </row>
    <row r="25" spans="1:9" ht="15.75">
      <c r="A25" s="396" t="s">
        <v>99</v>
      </c>
      <c r="B25" s="396"/>
      <c r="C25" s="396"/>
      <c r="D25" s="396"/>
      <c r="E25" s="401" t="s">
        <v>242</v>
      </c>
      <c r="F25" s="399"/>
      <c r="G25" s="399"/>
      <c r="H25" s="399"/>
      <c r="I25" s="399"/>
    </row>
    <row r="26" spans="1:9" ht="18.75">
      <c r="A26" s="5"/>
      <c r="B26" s="5"/>
      <c r="C26" s="5"/>
      <c r="D26" s="5"/>
      <c r="E26" s="22"/>
      <c r="F26" s="22"/>
      <c r="G26" s="22"/>
      <c r="H26" s="22"/>
      <c r="I26" s="22"/>
    </row>
    <row r="27" spans="1:9" ht="45" customHeight="1">
      <c r="A27" s="397" t="s">
        <v>100</v>
      </c>
      <c r="B27" s="397"/>
      <c r="C27" s="397"/>
      <c r="D27" s="397"/>
      <c r="E27" s="398" t="s">
        <v>244</v>
      </c>
      <c r="F27" s="398"/>
      <c r="G27" s="398"/>
      <c r="H27" s="398"/>
      <c r="I27" s="398"/>
    </row>
    <row r="28" spans="1:9" ht="18.75">
      <c r="A28" s="5"/>
      <c r="B28" s="5"/>
      <c r="C28" s="5"/>
      <c r="D28" s="5"/>
      <c r="E28" s="22"/>
      <c r="F28" s="22"/>
      <c r="G28" s="22"/>
      <c r="H28" s="22"/>
      <c r="I28" s="22"/>
    </row>
    <row r="29" spans="1:9" ht="15.75" customHeight="1">
      <c r="A29" s="396" t="s">
        <v>101</v>
      </c>
      <c r="B29" s="396"/>
      <c r="C29" s="396"/>
      <c r="D29" s="396"/>
      <c r="E29" s="399" t="s">
        <v>245</v>
      </c>
      <c r="F29" s="399"/>
      <c r="G29" s="399"/>
      <c r="H29" s="399"/>
      <c r="I29" s="399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18.75">
      <c r="A31" s="5"/>
      <c r="B31" s="5"/>
      <c r="C31" s="5"/>
      <c r="D31" s="5"/>
      <c r="E31" s="5"/>
      <c r="F31" s="5"/>
      <c r="G31" s="5"/>
      <c r="H31" s="5"/>
      <c r="I31" s="5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3">
    <mergeCell ref="F1:I1"/>
    <mergeCell ref="E11:I11"/>
    <mergeCell ref="E13:I13"/>
    <mergeCell ref="E15:I15"/>
    <mergeCell ref="E17:I17"/>
    <mergeCell ref="A19:D19"/>
    <mergeCell ref="E23:I23"/>
    <mergeCell ref="E25:I25"/>
    <mergeCell ref="F2:I2"/>
    <mergeCell ref="A6:I6"/>
    <mergeCell ref="A7:I7"/>
    <mergeCell ref="A8:I8"/>
    <mergeCell ref="A23:D23"/>
    <mergeCell ref="A29:D29"/>
    <mergeCell ref="A27:D27"/>
    <mergeCell ref="E27:I27"/>
    <mergeCell ref="A15:D15"/>
    <mergeCell ref="A25:D25"/>
    <mergeCell ref="E19:I19"/>
    <mergeCell ref="E29:I29"/>
    <mergeCell ref="E21:I21"/>
    <mergeCell ref="A21:D21"/>
    <mergeCell ref="A17:D17"/>
  </mergeCells>
  <hyperlinks>
    <hyperlink ref="E25" r:id="rId1" display="kanc@a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P152"/>
  <sheetViews>
    <sheetView view="pageBreakPreview" zoomScale="70" zoomScaleNormal="70" zoomScaleSheetLayoutView="70" zoomScalePageLayoutView="0" workbookViewId="0" topLeftCell="A1">
      <selection activeCell="A7" sqref="A7:K7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50"/>
      <c r="E1" s="437" t="s">
        <v>204</v>
      </c>
      <c r="F1" s="437"/>
      <c r="G1" s="437"/>
      <c r="H1" s="437"/>
      <c r="I1" s="51"/>
      <c r="J1" s="51"/>
      <c r="K1" s="51"/>
      <c r="L1" s="51"/>
    </row>
    <row r="2" spans="4:12" s="1" customFormat="1" ht="50.25" customHeight="1">
      <c r="D2" s="53"/>
      <c r="E2" s="53"/>
      <c r="F2" s="437" t="s">
        <v>89</v>
      </c>
      <c r="G2" s="437"/>
      <c r="H2" s="437"/>
      <c r="I2" s="51"/>
      <c r="J2" s="51"/>
      <c r="K2" s="51"/>
      <c r="L2" s="51"/>
    </row>
    <row r="3" spans="4:7" s="1" customFormat="1" ht="15.75" customHeight="1">
      <c r="D3" s="445"/>
      <c r="E3" s="445"/>
      <c r="F3" s="445"/>
      <c r="G3" s="445"/>
    </row>
    <row r="4" ht="15" customHeight="1"/>
    <row r="5" spans="1:12" ht="21" customHeight="1">
      <c r="A5" s="403" t="s">
        <v>103</v>
      </c>
      <c r="B5" s="403"/>
      <c r="C5" s="403"/>
      <c r="D5" s="403"/>
      <c r="E5" s="403"/>
      <c r="F5" s="403"/>
      <c r="G5" s="403"/>
      <c r="H5" s="403"/>
      <c r="I5" s="419"/>
      <c r="J5" s="419"/>
      <c r="K5" s="419"/>
      <c r="L5" s="68"/>
    </row>
    <row r="6" spans="1:12" ht="43.5" customHeight="1">
      <c r="A6" s="455" t="s">
        <v>309</v>
      </c>
      <c r="B6" s="455"/>
      <c r="C6" s="455"/>
      <c r="D6" s="455"/>
      <c r="E6" s="455"/>
      <c r="F6" s="455"/>
      <c r="G6" s="455"/>
      <c r="H6" s="455"/>
      <c r="I6" s="456"/>
      <c r="J6" s="456"/>
      <c r="K6" s="456"/>
      <c r="L6" s="69"/>
    </row>
    <row r="7" spans="1:12" ht="23.25" customHeight="1">
      <c r="A7" s="455" t="s">
        <v>211</v>
      </c>
      <c r="B7" s="455"/>
      <c r="C7" s="455"/>
      <c r="D7" s="455"/>
      <c r="E7" s="455"/>
      <c r="F7" s="455"/>
      <c r="G7" s="455"/>
      <c r="H7" s="455"/>
      <c r="I7" s="456"/>
      <c r="J7" s="456"/>
      <c r="K7" s="456"/>
      <c r="L7" s="69"/>
    </row>
    <row r="8" spans="1:3" ht="16.5" thickBot="1">
      <c r="A8" s="22"/>
      <c r="B8" s="22"/>
      <c r="C8" s="22"/>
    </row>
    <row r="9" spans="1:12" ht="64.5" customHeight="1" thickBot="1">
      <c r="A9" s="448"/>
      <c r="B9" s="438" t="s">
        <v>104</v>
      </c>
      <c r="C9" s="448" t="s">
        <v>31</v>
      </c>
      <c r="D9" s="444" t="s">
        <v>105</v>
      </c>
      <c r="E9" s="441"/>
      <c r="F9" s="441"/>
      <c r="G9" s="441"/>
      <c r="H9" s="441"/>
      <c r="I9" s="442"/>
      <c r="J9" s="442"/>
      <c r="K9" s="443"/>
      <c r="L9" s="71"/>
    </row>
    <row r="10" spans="1:12" ht="64.5" customHeight="1" thickBot="1">
      <c r="A10" s="449"/>
      <c r="B10" s="439"/>
      <c r="C10" s="449"/>
      <c r="D10" s="444" t="s">
        <v>106</v>
      </c>
      <c r="E10" s="441"/>
      <c r="F10" s="441"/>
      <c r="G10" s="447"/>
      <c r="H10" s="441" t="s">
        <v>192</v>
      </c>
      <c r="I10" s="442"/>
      <c r="J10" s="442"/>
      <c r="K10" s="443"/>
      <c r="L10" s="71"/>
    </row>
    <row r="11" spans="1:12" ht="15.75" customHeight="1" thickBot="1">
      <c r="A11" s="450"/>
      <c r="B11" s="440"/>
      <c r="C11" s="450"/>
      <c r="D11" s="221" t="s">
        <v>37</v>
      </c>
      <c r="E11" s="222" t="s">
        <v>45</v>
      </c>
      <c r="F11" s="223" t="s">
        <v>75</v>
      </c>
      <c r="G11" s="224" t="s">
        <v>76</v>
      </c>
      <c r="H11" s="221" t="s">
        <v>37</v>
      </c>
      <c r="I11" s="222" t="s">
        <v>45</v>
      </c>
      <c r="J11" s="223" t="s">
        <v>75</v>
      </c>
      <c r="K11" s="224" t="s">
        <v>76</v>
      </c>
      <c r="L11" s="72"/>
    </row>
    <row r="12" spans="1:16" ht="69.75" customHeight="1" thickBot="1">
      <c r="A12" s="220" t="s">
        <v>181</v>
      </c>
      <c r="B12" s="457" t="s">
        <v>107</v>
      </c>
      <c r="C12" s="457"/>
      <c r="D12" s="457"/>
      <c r="E12" s="457"/>
      <c r="F12" s="457"/>
      <c r="G12" s="457"/>
      <c r="H12" s="458"/>
      <c r="I12" s="458"/>
      <c r="J12" s="458"/>
      <c r="K12" s="459"/>
      <c r="L12" s="73"/>
      <c r="M12" s="421"/>
      <c r="N12" s="421"/>
      <c r="O12" s="418"/>
      <c r="P12" s="419"/>
    </row>
    <row r="13" spans="1:14" ht="49.5" customHeight="1" thickBot="1">
      <c r="A13" s="220"/>
      <c r="B13" s="226" t="s">
        <v>71</v>
      </c>
      <c r="C13" s="227" t="s">
        <v>38</v>
      </c>
      <c r="D13" s="299">
        <f>SUM(D14:D17)</f>
        <v>2919.2283777631046</v>
      </c>
      <c r="E13" s="339">
        <f>SUM(E14:E17)</f>
        <v>2919.2283777631046</v>
      </c>
      <c r="F13" s="271"/>
      <c r="G13" s="272"/>
      <c r="H13" s="299">
        <f>SUM(H14:H17)</f>
        <v>2919.2283777631046</v>
      </c>
      <c r="I13" s="339">
        <f>SUM(I14:I17)</f>
        <v>2919.2283777631046</v>
      </c>
      <c r="J13" s="271"/>
      <c r="K13" s="272"/>
      <c r="L13" s="74"/>
      <c r="M13" s="420"/>
      <c r="N13" s="419"/>
    </row>
    <row r="14" spans="1:12" ht="57" customHeight="1">
      <c r="A14" s="220" t="s">
        <v>180</v>
      </c>
      <c r="B14" s="225" t="s">
        <v>179</v>
      </c>
      <c r="C14" s="61" t="s">
        <v>38</v>
      </c>
      <c r="D14" s="296">
        <v>977.2414368058055</v>
      </c>
      <c r="E14" s="337">
        <v>977.2414368058055</v>
      </c>
      <c r="F14" s="273"/>
      <c r="G14" s="274"/>
      <c r="H14" s="296">
        <v>977.2414368058055</v>
      </c>
      <c r="I14" s="337">
        <v>977.2414368058055</v>
      </c>
      <c r="J14" s="273"/>
      <c r="K14" s="274"/>
      <c r="L14" s="75"/>
    </row>
    <row r="15" spans="1:12" ht="36" customHeight="1">
      <c r="A15" s="220" t="s">
        <v>182</v>
      </c>
      <c r="B15" s="217" t="s">
        <v>183</v>
      </c>
      <c r="C15" s="25" t="s">
        <v>38</v>
      </c>
      <c r="D15" s="297">
        <v>824.7910584232055</v>
      </c>
      <c r="E15" s="298">
        <v>824.7910584232055</v>
      </c>
      <c r="F15" s="275"/>
      <c r="G15" s="276"/>
      <c r="H15" s="297">
        <v>824.7910584232055</v>
      </c>
      <c r="I15" s="298">
        <v>824.7910584232055</v>
      </c>
      <c r="J15" s="275"/>
      <c r="K15" s="276"/>
      <c r="L15" s="75"/>
    </row>
    <row r="16" spans="1:12" ht="39.75" customHeight="1" hidden="1">
      <c r="A16" s="220" t="s">
        <v>184</v>
      </c>
      <c r="B16" s="217" t="s">
        <v>53</v>
      </c>
      <c r="C16" s="25" t="s">
        <v>38</v>
      </c>
      <c r="D16" s="297"/>
      <c r="E16" s="298"/>
      <c r="F16" s="55"/>
      <c r="G16" s="81"/>
      <c r="H16" s="297"/>
      <c r="I16" s="298"/>
      <c r="J16" s="55"/>
      <c r="K16" s="81"/>
      <c r="L16" s="75"/>
    </row>
    <row r="17" spans="1:12" ht="75" customHeight="1" thickBot="1">
      <c r="A17" s="220" t="s">
        <v>185</v>
      </c>
      <c r="B17" s="228" t="s">
        <v>109</v>
      </c>
      <c r="C17" s="59" t="s">
        <v>38</v>
      </c>
      <c r="D17" s="297">
        <v>1117.1958825340935</v>
      </c>
      <c r="E17" s="338">
        <v>1117.1958825340935</v>
      </c>
      <c r="F17" s="277"/>
      <c r="G17" s="278"/>
      <c r="H17" s="297">
        <v>1117.1958825340935</v>
      </c>
      <c r="I17" s="338">
        <v>1117.1958825340935</v>
      </c>
      <c r="J17" s="277"/>
      <c r="K17" s="278"/>
      <c r="L17" s="75"/>
    </row>
    <row r="18" spans="1:12" ht="42" customHeight="1" thickBot="1">
      <c r="A18" s="220"/>
      <c r="B18" s="226" t="s">
        <v>311</v>
      </c>
      <c r="C18" s="227" t="s">
        <v>38</v>
      </c>
      <c r="D18" s="299">
        <f>SUM(D19:D22)</f>
        <v>458.75165606294104</v>
      </c>
      <c r="E18" s="339">
        <f>SUM(E19:E22)</f>
        <v>354.71140458182504</v>
      </c>
      <c r="F18" s="231"/>
      <c r="G18" s="232"/>
      <c r="H18" s="299">
        <f>SUM(H19:H22)</f>
        <v>458.75165606294104</v>
      </c>
      <c r="I18" s="339">
        <f>SUM(I19:I22)</f>
        <v>354.71140458182504</v>
      </c>
      <c r="J18" s="231"/>
      <c r="K18" s="232"/>
      <c r="L18" s="74"/>
    </row>
    <row r="19" spans="1:12" ht="57" customHeight="1">
      <c r="A19" s="220" t="s">
        <v>180</v>
      </c>
      <c r="B19" s="225" t="s">
        <v>179</v>
      </c>
      <c r="C19" s="61" t="s">
        <v>38</v>
      </c>
      <c r="D19" s="300">
        <v>135.91627748934255</v>
      </c>
      <c r="E19" s="301">
        <v>131.954386385746</v>
      </c>
      <c r="F19" s="229"/>
      <c r="G19" s="230"/>
      <c r="H19" s="300">
        <v>135.91627748934255</v>
      </c>
      <c r="I19" s="301">
        <v>131.954386385746</v>
      </c>
      <c r="J19" s="229"/>
      <c r="K19" s="230"/>
      <c r="L19" s="75"/>
    </row>
    <row r="20" spans="1:12" ht="39.75" customHeight="1">
      <c r="A20" s="220" t="s">
        <v>182</v>
      </c>
      <c r="B20" s="217" t="s">
        <v>183</v>
      </c>
      <c r="C20" s="25" t="s">
        <v>38</v>
      </c>
      <c r="D20" s="302">
        <v>99.65415435538671</v>
      </c>
      <c r="E20" s="303">
        <v>71.73691065383431</v>
      </c>
      <c r="F20" s="56"/>
      <c r="G20" s="82"/>
      <c r="H20" s="302">
        <v>99.65415435538671</v>
      </c>
      <c r="I20" s="303">
        <v>71.73691065383431</v>
      </c>
      <c r="J20" s="56"/>
      <c r="K20" s="82"/>
      <c r="L20" s="75"/>
    </row>
    <row r="21" spans="1:12" ht="28.5" customHeight="1" hidden="1">
      <c r="A21" s="220" t="s">
        <v>184</v>
      </c>
      <c r="B21" s="217" t="s">
        <v>53</v>
      </c>
      <c r="C21" s="25" t="s">
        <v>38</v>
      </c>
      <c r="D21" s="302"/>
      <c r="E21" s="303"/>
      <c r="F21" s="56"/>
      <c r="G21" s="82"/>
      <c r="H21" s="302"/>
      <c r="I21" s="303"/>
      <c r="J21" s="56"/>
      <c r="K21" s="82"/>
      <c r="L21" s="76"/>
    </row>
    <row r="22" spans="1:12" ht="83.25" customHeight="1" thickBot="1">
      <c r="A22" s="220" t="s">
        <v>185</v>
      </c>
      <c r="B22" s="228" t="s">
        <v>109</v>
      </c>
      <c r="C22" s="59" t="s">
        <v>38</v>
      </c>
      <c r="D22" s="302">
        <v>223.1812242182118</v>
      </c>
      <c r="E22" s="303">
        <v>151.02010754224474</v>
      </c>
      <c r="F22" s="233"/>
      <c r="G22" s="234"/>
      <c r="H22" s="302">
        <v>223.1812242182118</v>
      </c>
      <c r="I22" s="303">
        <v>151.02010754224474</v>
      </c>
      <c r="J22" s="233"/>
      <c r="K22" s="234"/>
      <c r="L22" s="75"/>
    </row>
    <row r="23" spans="1:12" ht="46.5" customHeight="1" thickBot="1">
      <c r="A23" s="220"/>
      <c r="B23" s="226" t="s">
        <v>72</v>
      </c>
      <c r="C23" s="227" t="s">
        <v>38</v>
      </c>
      <c r="D23" s="299">
        <f aca="true" t="shared" si="0" ref="D23:K23">SUM(D24:D27)</f>
        <v>133.066448432028</v>
      </c>
      <c r="E23" s="339">
        <f t="shared" si="0"/>
        <v>139.15899225054454</v>
      </c>
      <c r="F23" s="299">
        <f t="shared" si="0"/>
        <v>110.7202212666664</v>
      </c>
      <c r="G23" s="339">
        <f t="shared" si="0"/>
        <v>81.4977947084741</v>
      </c>
      <c r="H23" s="299">
        <f t="shared" si="0"/>
        <v>133.066448432028</v>
      </c>
      <c r="I23" s="339">
        <f t="shared" si="0"/>
        <v>139.15899225054454</v>
      </c>
      <c r="J23" s="299">
        <f t="shared" si="0"/>
        <v>110.7202212666664</v>
      </c>
      <c r="K23" s="339">
        <f t="shared" si="0"/>
        <v>81.4977947084741</v>
      </c>
      <c r="L23" s="74"/>
    </row>
    <row r="24" spans="1:12" ht="48" customHeight="1">
      <c r="A24" s="220" t="s">
        <v>180</v>
      </c>
      <c r="B24" s="225" t="s">
        <v>108</v>
      </c>
      <c r="C24" s="61" t="s">
        <v>38</v>
      </c>
      <c r="D24" s="304">
        <v>36.536199859504954</v>
      </c>
      <c r="E24" s="305">
        <v>47.33179835210899</v>
      </c>
      <c r="F24" s="305">
        <v>29.288672228596315</v>
      </c>
      <c r="G24" s="306">
        <v>21.558502767267786</v>
      </c>
      <c r="H24" s="304">
        <v>36.536199859504954</v>
      </c>
      <c r="I24" s="305">
        <v>47.33179835210899</v>
      </c>
      <c r="J24" s="305">
        <v>29.288672228596315</v>
      </c>
      <c r="K24" s="306">
        <v>21.558502767267786</v>
      </c>
      <c r="L24" s="75"/>
    </row>
    <row r="25" spans="1:12" ht="39.75" customHeight="1">
      <c r="A25" s="220" t="s">
        <v>182</v>
      </c>
      <c r="B25" s="217" t="s">
        <v>110</v>
      </c>
      <c r="C25" s="25" t="s">
        <v>38</v>
      </c>
      <c r="D25" s="304">
        <v>29.556181064172257</v>
      </c>
      <c r="E25" s="305">
        <v>39.655789431775865</v>
      </c>
      <c r="F25" s="305">
        <v>43.12136038756893</v>
      </c>
      <c r="G25" s="306">
        <v>31.740324723088673</v>
      </c>
      <c r="H25" s="304">
        <v>29.556181064172257</v>
      </c>
      <c r="I25" s="305">
        <v>39.655789431775865</v>
      </c>
      <c r="J25" s="305">
        <v>43.12136038756893</v>
      </c>
      <c r="K25" s="306">
        <v>31.740324723088673</v>
      </c>
      <c r="L25" s="75"/>
    </row>
    <row r="26" spans="1:12" ht="69" customHeight="1">
      <c r="A26" s="220" t="s">
        <v>184</v>
      </c>
      <c r="B26" s="217" t="s">
        <v>111</v>
      </c>
      <c r="C26" s="25" t="s">
        <v>38</v>
      </c>
      <c r="D26" s="304">
        <v>12.28981878098083</v>
      </c>
      <c r="E26" s="305">
        <v>9.171068291024381</v>
      </c>
      <c r="F26" s="305">
        <v>4.74131988091128</v>
      </c>
      <c r="G26" s="306">
        <v>3.4899416735364372</v>
      </c>
      <c r="H26" s="304">
        <v>12.28981878098083</v>
      </c>
      <c r="I26" s="305">
        <v>9.171068291024381</v>
      </c>
      <c r="J26" s="305">
        <v>4.74131988091128</v>
      </c>
      <c r="K26" s="306">
        <v>3.4899416735364372</v>
      </c>
      <c r="L26" s="75"/>
    </row>
    <row r="27" spans="1:12" ht="78" customHeight="1" thickBot="1">
      <c r="A27" s="220" t="s">
        <v>185</v>
      </c>
      <c r="B27" s="228" t="s">
        <v>109</v>
      </c>
      <c r="C27" s="59" t="s">
        <v>38</v>
      </c>
      <c r="D27" s="304">
        <v>54.684248727369976</v>
      </c>
      <c r="E27" s="305">
        <v>43.0003361756353</v>
      </c>
      <c r="F27" s="305">
        <v>33.56886876958988</v>
      </c>
      <c r="G27" s="306">
        <v>24.709025544581213</v>
      </c>
      <c r="H27" s="304">
        <v>54.684248727369976</v>
      </c>
      <c r="I27" s="305">
        <v>43.0003361756353</v>
      </c>
      <c r="J27" s="305">
        <v>33.56886876958988</v>
      </c>
      <c r="K27" s="306">
        <v>24.709025544581213</v>
      </c>
      <c r="L27" s="75"/>
    </row>
    <row r="28" spans="1:12" ht="35.25" customHeight="1" thickBot="1">
      <c r="A28" s="220"/>
      <c r="B28" s="226" t="s">
        <v>54</v>
      </c>
      <c r="C28" s="227" t="s">
        <v>38</v>
      </c>
      <c r="D28" s="299">
        <f aca="true" t="shared" si="1" ref="D28:K28">SUM(D29:D32)</f>
        <v>38.988764674133435</v>
      </c>
      <c r="E28" s="339">
        <f t="shared" si="1"/>
        <v>38.988764674133435</v>
      </c>
      <c r="F28" s="299">
        <f t="shared" si="1"/>
        <v>73.49658086834707</v>
      </c>
      <c r="G28" s="339">
        <f t="shared" si="1"/>
        <v>32.36324711200507</v>
      </c>
      <c r="H28" s="299">
        <f t="shared" si="1"/>
        <v>38.988764674133435</v>
      </c>
      <c r="I28" s="339">
        <f t="shared" si="1"/>
        <v>38.988764674133435</v>
      </c>
      <c r="J28" s="299">
        <f t="shared" si="1"/>
        <v>73.49658086834707</v>
      </c>
      <c r="K28" s="339">
        <f t="shared" si="1"/>
        <v>32.36324711200507</v>
      </c>
      <c r="L28" s="74"/>
    </row>
    <row r="29" spans="1:12" ht="50.25" customHeight="1">
      <c r="A29" s="220" t="s">
        <v>180</v>
      </c>
      <c r="B29" s="225" t="s">
        <v>108</v>
      </c>
      <c r="C29" s="61" t="s">
        <v>38</v>
      </c>
      <c r="D29" s="304">
        <v>12.532945810037269</v>
      </c>
      <c r="E29" s="307">
        <v>12.532945810037269</v>
      </c>
      <c r="F29" s="305">
        <v>19.103681627586766</v>
      </c>
      <c r="G29" s="306">
        <v>9.118278626801269</v>
      </c>
      <c r="H29" s="304">
        <v>12.532945810037269</v>
      </c>
      <c r="I29" s="307">
        <v>12.532945810037269</v>
      </c>
      <c r="J29" s="305">
        <v>19.103681627586766</v>
      </c>
      <c r="K29" s="306">
        <v>9.118278626801269</v>
      </c>
      <c r="L29" s="75"/>
    </row>
    <row r="30" spans="1:12" ht="41.25" customHeight="1">
      <c r="A30" s="220" t="s">
        <v>182</v>
      </c>
      <c r="B30" s="217" t="s">
        <v>110</v>
      </c>
      <c r="C30" s="25" t="s">
        <v>38</v>
      </c>
      <c r="D30" s="304">
        <v>12.565986636029903</v>
      </c>
      <c r="E30" s="307">
        <v>12.565986636029903</v>
      </c>
      <c r="F30" s="305">
        <v>26.582521955586763</v>
      </c>
      <c r="G30" s="306">
        <v>9.815085029755114</v>
      </c>
      <c r="H30" s="304">
        <v>12.565986636029903</v>
      </c>
      <c r="I30" s="307">
        <v>12.565986636029903</v>
      </c>
      <c r="J30" s="305">
        <v>26.582521955586763</v>
      </c>
      <c r="K30" s="306">
        <v>9.815085029755114</v>
      </c>
      <c r="L30" s="75"/>
    </row>
    <row r="31" spans="1:12" ht="69" customHeight="1">
      <c r="A31" s="220" t="s">
        <v>184</v>
      </c>
      <c r="B31" s="217" t="s">
        <v>111</v>
      </c>
      <c r="C31" s="25" t="s">
        <v>38</v>
      </c>
      <c r="D31" s="304">
        <v>4.107535181915729</v>
      </c>
      <c r="E31" s="307">
        <v>4.107535181915729</v>
      </c>
      <c r="F31" s="305">
        <v>7.116568391586766</v>
      </c>
      <c r="G31" s="306">
        <v>3.2083280239704988</v>
      </c>
      <c r="H31" s="304">
        <v>4.107535181915729</v>
      </c>
      <c r="I31" s="307">
        <v>4.107535181915729</v>
      </c>
      <c r="J31" s="305">
        <v>7.116568391586766</v>
      </c>
      <c r="K31" s="306">
        <v>3.2083280239704988</v>
      </c>
      <c r="L31" s="75"/>
    </row>
    <row r="32" spans="1:12" ht="77.25" customHeight="1" thickBot="1">
      <c r="A32" s="220" t="s">
        <v>185</v>
      </c>
      <c r="B32" s="228" t="s">
        <v>109</v>
      </c>
      <c r="C32" s="59" t="s">
        <v>38</v>
      </c>
      <c r="D32" s="304">
        <v>9.782297046150534</v>
      </c>
      <c r="E32" s="307">
        <v>9.782297046150534</v>
      </c>
      <c r="F32" s="305">
        <v>20.693808893586766</v>
      </c>
      <c r="G32" s="306">
        <v>10.221555431478192</v>
      </c>
      <c r="H32" s="304">
        <v>9.782297046150534</v>
      </c>
      <c r="I32" s="307">
        <v>9.782297046150534</v>
      </c>
      <c r="J32" s="305">
        <v>20.693808893586766</v>
      </c>
      <c r="K32" s="306">
        <v>10.221555431478192</v>
      </c>
      <c r="L32" s="75"/>
    </row>
    <row r="33" spans="1:12" ht="49.5" customHeight="1" thickBot="1">
      <c r="A33" s="415" t="s">
        <v>186</v>
      </c>
      <c r="B33" s="407" t="s">
        <v>199</v>
      </c>
      <c r="C33" s="408"/>
      <c r="D33" s="408"/>
      <c r="E33" s="408"/>
      <c r="F33" s="408"/>
      <c r="G33" s="408"/>
      <c r="H33" s="409"/>
      <c r="I33" s="409"/>
      <c r="J33" s="409"/>
      <c r="K33" s="410"/>
      <c r="L33" s="77"/>
    </row>
    <row r="34" spans="1:12" ht="42.75" customHeight="1">
      <c r="A34" s="416"/>
      <c r="B34" s="253" t="s">
        <v>55</v>
      </c>
      <c r="C34" s="205"/>
      <c r="D34" s="30"/>
      <c r="E34" s="30"/>
      <c r="F34" s="30"/>
      <c r="G34" s="52"/>
      <c r="H34" s="260"/>
      <c r="I34" s="261"/>
      <c r="J34" s="261"/>
      <c r="K34" s="262"/>
      <c r="L34" s="78"/>
    </row>
    <row r="35" spans="1:12" ht="15.75">
      <c r="A35" s="416"/>
      <c r="B35" s="254" t="s">
        <v>79</v>
      </c>
      <c r="C35" s="34" t="s">
        <v>56</v>
      </c>
      <c r="D35" s="46"/>
      <c r="E35" s="46"/>
      <c r="F35" s="46"/>
      <c r="G35" s="243"/>
      <c r="H35" s="263"/>
      <c r="I35" s="46"/>
      <c r="J35" s="46"/>
      <c r="K35" s="89"/>
      <c r="L35" s="78"/>
    </row>
    <row r="36" spans="1:12" ht="15.75">
      <c r="A36" s="416"/>
      <c r="B36" s="255" t="s">
        <v>80</v>
      </c>
      <c r="C36" s="36" t="s">
        <v>56</v>
      </c>
      <c r="D36" s="210">
        <v>263338.82</v>
      </c>
      <c r="E36" s="210">
        <v>320372.88</v>
      </c>
      <c r="F36" s="46"/>
      <c r="G36" s="243"/>
      <c r="H36" s="264"/>
      <c r="I36" s="210"/>
      <c r="J36" s="26"/>
      <c r="K36" s="89"/>
      <c r="L36" s="78"/>
    </row>
    <row r="37" spans="1:12" ht="47.25">
      <c r="A37" s="416"/>
      <c r="B37" s="256" t="s">
        <v>312</v>
      </c>
      <c r="C37" s="31"/>
      <c r="D37" s="46"/>
      <c r="E37" s="46"/>
      <c r="F37" s="46"/>
      <c r="G37" s="243"/>
      <c r="H37" s="263"/>
      <c r="I37" s="46"/>
      <c r="J37" s="26"/>
      <c r="K37" s="89"/>
      <c r="L37" s="78"/>
    </row>
    <row r="38" spans="1:12" ht="15.75">
      <c r="A38" s="416"/>
      <c r="B38" s="254" t="s">
        <v>79</v>
      </c>
      <c r="C38" s="34" t="s">
        <v>56</v>
      </c>
      <c r="D38" s="46"/>
      <c r="E38" s="46"/>
      <c r="F38" s="46"/>
      <c r="G38" s="243"/>
      <c r="H38" s="263"/>
      <c r="I38" s="46"/>
      <c r="J38" s="26"/>
      <c r="K38" s="89"/>
      <c r="L38" s="78"/>
    </row>
    <row r="39" spans="1:12" ht="15.75">
      <c r="A39" s="416"/>
      <c r="B39" s="255" t="s">
        <v>80</v>
      </c>
      <c r="C39" s="36" t="s">
        <v>56</v>
      </c>
      <c r="D39" s="210">
        <v>278341.52</v>
      </c>
      <c r="E39" s="210">
        <v>320372.88</v>
      </c>
      <c r="F39" s="46"/>
      <c r="G39" s="243"/>
      <c r="H39" s="264"/>
      <c r="I39" s="210"/>
      <c r="J39" s="26"/>
      <c r="K39" s="89"/>
      <c r="L39" s="78"/>
    </row>
    <row r="40" spans="1:12" ht="46.5" customHeight="1">
      <c r="A40" s="416"/>
      <c r="B40" s="256" t="s">
        <v>57</v>
      </c>
      <c r="C40" s="31"/>
      <c r="D40" s="46"/>
      <c r="E40" s="46"/>
      <c r="F40" s="46"/>
      <c r="G40" s="243"/>
      <c r="H40" s="263"/>
      <c r="I40" s="46"/>
      <c r="J40" s="26"/>
      <c r="K40" s="89"/>
      <c r="L40" s="78"/>
    </row>
    <row r="41" spans="1:12" ht="15.75">
      <c r="A41" s="416"/>
      <c r="B41" s="254" t="s">
        <v>79</v>
      </c>
      <c r="C41" s="34" t="s">
        <v>56</v>
      </c>
      <c r="D41" s="46"/>
      <c r="E41" s="46"/>
      <c r="F41" s="46"/>
      <c r="G41" s="243"/>
      <c r="H41" s="263"/>
      <c r="I41" s="46"/>
      <c r="J41" s="26"/>
      <c r="K41" s="89"/>
      <c r="L41" s="78"/>
    </row>
    <row r="42" spans="1:12" ht="15.75">
      <c r="A42" s="416"/>
      <c r="B42" s="255" t="s">
        <v>80</v>
      </c>
      <c r="C42" s="36" t="s">
        <v>56</v>
      </c>
      <c r="D42" s="210">
        <v>394074.18</v>
      </c>
      <c r="E42" s="210">
        <v>479692</v>
      </c>
      <c r="F42" s="46"/>
      <c r="G42" s="243"/>
      <c r="H42" s="264"/>
      <c r="I42" s="210"/>
      <c r="J42" s="26"/>
      <c r="K42" s="89"/>
      <c r="L42" s="78"/>
    </row>
    <row r="43" spans="1:12" ht="46.5" customHeight="1">
      <c r="A43" s="416"/>
      <c r="B43" s="256" t="s">
        <v>58</v>
      </c>
      <c r="C43" s="31"/>
      <c r="D43" s="46"/>
      <c r="E43" s="46"/>
      <c r="F43" s="46"/>
      <c r="G43" s="243"/>
      <c r="H43" s="263"/>
      <c r="I43" s="46"/>
      <c r="J43" s="26"/>
      <c r="K43" s="89"/>
      <c r="L43" s="78"/>
    </row>
    <row r="44" spans="1:12" ht="15.75">
      <c r="A44" s="416"/>
      <c r="B44" s="254" t="s">
        <v>79</v>
      </c>
      <c r="C44" s="34" t="s">
        <v>56</v>
      </c>
      <c r="D44" s="46"/>
      <c r="E44" s="46"/>
      <c r="F44" s="46"/>
      <c r="G44" s="243"/>
      <c r="H44" s="263"/>
      <c r="I44" s="46"/>
      <c r="J44" s="26"/>
      <c r="K44" s="89"/>
      <c r="L44" s="78"/>
    </row>
    <row r="45" spans="1:12" ht="15.75">
      <c r="A45" s="416"/>
      <c r="B45" s="255" t="s">
        <v>80</v>
      </c>
      <c r="C45" s="36" t="s">
        <v>56</v>
      </c>
      <c r="D45" s="210">
        <v>394074.18</v>
      </c>
      <c r="E45" s="210">
        <v>655004.66</v>
      </c>
      <c r="F45" s="46"/>
      <c r="G45" s="243"/>
      <c r="H45" s="264"/>
      <c r="I45" s="210"/>
      <c r="J45" s="26"/>
      <c r="K45" s="89"/>
      <c r="L45" s="78"/>
    </row>
    <row r="46" spans="1:12" ht="41.25" customHeight="1">
      <c r="A46" s="416"/>
      <c r="B46" s="256" t="s">
        <v>73</v>
      </c>
      <c r="C46" s="31"/>
      <c r="D46" s="46"/>
      <c r="E46" s="46"/>
      <c r="F46" s="46"/>
      <c r="G46" s="243"/>
      <c r="H46" s="263"/>
      <c r="I46" s="46"/>
      <c r="J46" s="26"/>
      <c r="K46" s="89"/>
      <c r="L46" s="78"/>
    </row>
    <row r="47" spans="1:12" ht="15.75">
      <c r="A47" s="416"/>
      <c r="B47" s="254" t="s">
        <v>79</v>
      </c>
      <c r="C47" s="86" t="s">
        <v>56</v>
      </c>
      <c r="D47" s="46"/>
      <c r="E47" s="46"/>
      <c r="F47" s="46"/>
      <c r="G47" s="243"/>
      <c r="H47" s="263"/>
      <c r="I47" s="46"/>
      <c r="J47" s="46"/>
      <c r="K47" s="89"/>
      <c r="L47" s="78"/>
    </row>
    <row r="48" spans="1:12" ht="16.5" thickBot="1">
      <c r="A48" s="446"/>
      <c r="B48" s="257" t="s">
        <v>80</v>
      </c>
      <c r="C48" s="258" t="s">
        <v>56</v>
      </c>
      <c r="D48" s="259">
        <v>394074.18</v>
      </c>
      <c r="E48" s="259">
        <v>655004.66</v>
      </c>
      <c r="F48" s="214"/>
      <c r="G48" s="244"/>
      <c r="H48" s="265"/>
      <c r="I48" s="259"/>
      <c r="J48" s="259"/>
      <c r="K48" s="215"/>
      <c r="L48" s="78"/>
    </row>
    <row r="49" spans="1:12" ht="48" customHeight="1" thickBot="1">
      <c r="A49" s="415" t="s">
        <v>187</v>
      </c>
      <c r="B49" s="451" t="s">
        <v>200</v>
      </c>
      <c r="C49" s="452"/>
      <c r="D49" s="452"/>
      <c r="E49" s="452"/>
      <c r="F49" s="452"/>
      <c r="G49" s="452"/>
      <c r="H49" s="453"/>
      <c r="I49" s="453"/>
      <c r="J49" s="453"/>
      <c r="K49" s="454"/>
      <c r="L49" s="79"/>
    </row>
    <row r="50" spans="1:12" ht="44.25" customHeight="1">
      <c r="A50" s="416"/>
      <c r="B50" s="235" t="s">
        <v>59</v>
      </c>
      <c r="C50" s="61"/>
      <c r="D50" s="208"/>
      <c r="E50" s="85"/>
      <c r="F50" s="85"/>
      <c r="G50" s="52"/>
      <c r="H50" s="260"/>
      <c r="I50" s="261"/>
      <c r="J50" s="261"/>
      <c r="K50" s="262"/>
      <c r="L50" s="78"/>
    </row>
    <row r="51" spans="1:12" ht="44.25" customHeight="1">
      <c r="A51" s="416"/>
      <c r="B51" s="238" t="s">
        <v>294</v>
      </c>
      <c r="C51" s="237" t="s">
        <v>56</v>
      </c>
      <c r="D51" s="208"/>
      <c r="E51" s="85"/>
      <c r="F51" s="85"/>
      <c r="G51" s="243"/>
      <c r="H51" s="263"/>
      <c r="I51" s="46"/>
      <c r="J51" s="46"/>
      <c r="K51" s="89"/>
      <c r="L51" s="78"/>
    </row>
    <row r="52" spans="1:12" ht="44.25" customHeight="1">
      <c r="A52" s="416"/>
      <c r="B52" s="238" t="s">
        <v>295</v>
      </c>
      <c r="C52" s="237" t="s">
        <v>56</v>
      </c>
      <c r="D52" s="208"/>
      <c r="E52" s="85"/>
      <c r="F52" s="85"/>
      <c r="G52" s="243"/>
      <c r="H52" s="263"/>
      <c r="I52" s="46"/>
      <c r="J52" s="46"/>
      <c r="K52" s="89"/>
      <c r="L52" s="78"/>
    </row>
    <row r="53" spans="1:12" ht="44.25" customHeight="1">
      <c r="A53" s="416"/>
      <c r="B53" s="238" t="s">
        <v>296</v>
      </c>
      <c r="C53" s="237" t="s">
        <v>56</v>
      </c>
      <c r="D53" s="203">
        <v>167829.06</v>
      </c>
      <c r="E53" s="204">
        <v>467692.81</v>
      </c>
      <c r="F53" s="85"/>
      <c r="G53" s="243"/>
      <c r="H53" s="264"/>
      <c r="I53" s="204"/>
      <c r="J53" s="46"/>
      <c r="K53" s="89"/>
      <c r="L53" s="78"/>
    </row>
    <row r="54" spans="1:12" ht="44.25" customHeight="1">
      <c r="A54" s="416"/>
      <c r="B54" s="239" t="s">
        <v>297</v>
      </c>
      <c r="C54" s="237" t="s">
        <v>56</v>
      </c>
      <c r="D54" s="203">
        <v>210762.8</v>
      </c>
      <c r="E54" s="204">
        <v>508242.55</v>
      </c>
      <c r="F54" s="85"/>
      <c r="G54" s="243"/>
      <c r="H54" s="264"/>
      <c r="I54" s="204"/>
      <c r="J54" s="46"/>
      <c r="K54" s="89"/>
      <c r="L54" s="78"/>
    </row>
    <row r="55" spans="1:12" ht="44.25" customHeight="1">
      <c r="A55" s="416"/>
      <c r="B55" s="239" t="s">
        <v>298</v>
      </c>
      <c r="C55" s="237" t="s">
        <v>56</v>
      </c>
      <c r="D55" s="203">
        <v>201090.26</v>
      </c>
      <c r="E55" s="204">
        <v>499107.1</v>
      </c>
      <c r="F55" s="85"/>
      <c r="G55" s="243"/>
      <c r="H55" s="264"/>
      <c r="I55" s="204"/>
      <c r="J55" s="46"/>
      <c r="K55" s="89"/>
      <c r="L55" s="78"/>
    </row>
    <row r="56" spans="1:12" ht="44.25" customHeight="1">
      <c r="A56" s="416"/>
      <c r="B56" s="239" t="s">
        <v>299</v>
      </c>
      <c r="C56" s="237" t="s">
        <v>56</v>
      </c>
      <c r="D56" s="203">
        <v>271619.38</v>
      </c>
      <c r="E56" s="204">
        <v>571483.12</v>
      </c>
      <c r="F56" s="85"/>
      <c r="G56" s="243"/>
      <c r="H56" s="264"/>
      <c r="I56" s="204"/>
      <c r="J56" s="46"/>
      <c r="K56" s="89"/>
      <c r="L56" s="78"/>
    </row>
    <row r="57" spans="1:12" ht="44.25" customHeight="1">
      <c r="A57" s="416"/>
      <c r="B57" s="239" t="s">
        <v>300</v>
      </c>
      <c r="C57" s="237" t="s">
        <v>56</v>
      </c>
      <c r="D57" s="203">
        <v>244024</v>
      </c>
      <c r="E57" s="204">
        <v>539656.84</v>
      </c>
      <c r="F57" s="85"/>
      <c r="G57" s="243"/>
      <c r="H57" s="264"/>
      <c r="I57" s="204"/>
      <c r="J57" s="46"/>
      <c r="K57" s="89"/>
      <c r="L57" s="78"/>
    </row>
    <row r="58" spans="1:12" ht="44.25" customHeight="1">
      <c r="A58" s="416"/>
      <c r="B58" s="239" t="s">
        <v>301</v>
      </c>
      <c r="C58" s="237" t="s">
        <v>56</v>
      </c>
      <c r="D58" s="203">
        <v>304880.58</v>
      </c>
      <c r="E58" s="204">
        <v>602897.42</v>
      </c>
      <c r="F58" s="85"/>
      <c r="G58" s="243"/>
      <c r="H58" s="264"/>
      <c r="I58" s="204"/>
      <c r="J58" s="46"/>
      <c r="K58" s="89"/>
      <c r="L58" s="78"/>
    </row>
    <row r="59" spans="1:12" ht="44.25" customHeight="1">
      <c r="A59" s="416"/>
      <c r="B59" s="238" t="s">
        <v>302</v>
      </c>
      <c r="C59" s="237" t="s">
        <v>56</v>
      </c>
      <c r="D59" s="203"/>
      <c r="E59" s="204">
        <v>661373.23</v>
      </c>
      <c r="F59" s="85"/>
      <c r="G59" s="243"/>
      <c r="H59" s="264"/>
      <c r="I59" s="204"/>
      <c r="J59" s="46"/>
      <c r="K59" s="89"/>
      <c r="L59" s="78"/>
    </row>
    <row r="60" spans="1:12" ht="44.25" customHeight="1">
      <c r="A60" s="416"/>
      <c r="B60" s="239" t="s">
        <v>297</v>
      </c>
      <c r="C60" s="237" t="s">
        <v>56</v>
      </c>
      <c r="D60" s="203"/>
      <c r="E60" s="204">
        <v>701922.97</v>
      </c>
      <c r="F60" s="85"/>
      <c r="G60" s="243"/>
      <c r="H60" s="264"/>
      <c r="I60" s="204"/>
      <c r="J60" s="46"/>
      <c r="K60" s="89"/>
      <c r="L60" s="78"/>
    </row>
    <row r="61" spans="1:12" ht="44.25" customHeight="1">
      <c r="A61" s="416"/>
      <c r="B61" s="239" t="s">
        <v>298</v>
      </c>
      <c r="C61" s="237" t="s">
        <v>56</v>
      </c>
      <c r="D61" s="203"/>
      <c r="E61" s="204">
        <v>692787.52</v>
      </c>
      <c r="F61" s="85"/>
      <c r="G61" s="243"/>
      <c r="H61" s="264"/>
      <c r="I61" s="204"/>
      <c r="J61" s="46"/>
      <c r="K61" s="89"/>
      <c r="L61" s="78"/>
    </row>
    <row r="62" spans="1:12" ht="44.25" customHeight="1">
      <c r="A62" s="416"/>
      <c r="B62" s="239" t="s">
        <v>299</v>
      </c>
      <c r="C62" s="237" t="s">
        <v>56</v>
      </c>
      <c r="D62" s="203"/>
      <c r="E62" s="204">
        <v>765163.54</v>
      </c>
      <c r="F62" s="85"/>
      <c r="G62" s="243"/>
      <c r="H62" s="264"/>
      <c r="I62" s="204"/>
      <c r="J62" s="46"/>
      <c r="K62" s="89"/>
      <c r="L62" s="78"/>
    </row>
    <row r="63" spans="1:12" ht="44.25" customHeight="1">
      <c r="A63" s="416"/>
      <c r="B63" s="239" t="s">
        <v>300</v>
      </c>
      <c r="C63" s="237" t="s">
        <v>56</v>
      </c>
      <c r="D63" s="203"/>
      <c r="E63" s="204">
        <v>733337.26</v>
      </c>
      <c r="F63" s="85"/>
      <c r="G63" s="243"/>
      <c r="H63" s="264"/>
      <c r="I63" s="204"/>
      <c r="J63" s="46"/>
      <c r="K63" s="89"/>
      <c r="L63" s="78"/>
    </row>
    <row r="64" spans="1:12" ht="44.25" customHeight="1">
      <c r="A64" s="416"/>
      <c r="B64" s="239" t="s">
        <v>301</v>
      </c>
      <c r="C64" s="237" t="s">
        <v>56</v>
      </c>
      <c r="D64" s="203"/>
      <c r="E64" s="204">
        <v>796577.84</v>
      </c>
      <c r="F64" s="85"/>
      <c r="G64" s="243"/>
      <c r="H64" s="264"/>
      <c r="I64" s="204"/>
      <c r="J64" s="46"/>
      <c r="K64" s="89"/>
      <c r="L64" s="78"/>
    </row>
    <row r="65" spans="1:12" ht="42.75" customHeight="1">
      <c r="A65" s="416"/>
      <c r="B65" s="236" t="s">
        <v>313</v>
      </c>
      <c r="C65" s="25"/>
      <c r="D65" s="33"/>
      <c r="E65" s="32"/>
      <c r="F65" s="32"/>
      <c r="G65" s="243"/>
      <c r="H65" s="87"/>
      <c r="I65" s="32"/>
      <c r="J65" s="46"/>
      <c r="K65" s="89"/>
      <c r="L65" s="78"/>
    </row>
    <row r="66" spans="1:12" ht="42.75" customHeight="1">
      <c r="A66" s="416"/>
      <c r="B66" s="238" t="s">
        <v>294</v>
      </c>
      <c r="C66" s="237" t="s">
        <v>56</v>
      </c>
      <c r="D66" s="208"/>
      <c r="E66" s="85"/>
      <c r="F66" s="208"/>
      <c r="G66" s="243"/>
      <c r="H66" s="88"/>
      <c r="I66" s="85"/>
      <c r="J66" s="46"/>
      <c r="K66" s="89"/>
      <c r="L66" s="78"/>
    </row>
    <row r="67" spans="1:12" ht="42.75" customHeight="1">
      <c r="A67" s="416"/>
      <c r="B67" s="238" t="s">
        <v>295</v>
      </c>
      <c r="C67" s="237" t="s">
        <v>56</v>
      </c>
      <c r="D67" s="208"/>
      <c r="E67" s="207"/>
      <c r="F67" s="206"/>
      <c r="G67" s="243"/>
      <c r="H67" s="88"/>
      <c r="I67" s="85"/>
      <c r="J67" s="46"/>
      <c r="K67" s="89"/>
      <c r="L67" s="78"/>
    </row>
    <row r="68" spans="1:12" ht="42.75" customHeight="1">
      <c r="A68" s="416"/>
      <c r="B68" s="238" t="s">
        <v>296</v>
      </c>
      <c r="C68" s="237" t="s">
        <v>56</v>
      </c>
      <c r="D68" s="203">
        <v>184424.1</v>
      </c>
      <c r="E68" s="204">
        <v>467692.81</v>
      </c>
      <c r="F68" s="46"/>
      <c r="G68" s="243"/>
      <c r="H68" s="264"/>
      <c r="I68" s="204"/>
      <c r="J68" s="46"/>
      <c r="K68" s="89"/>
      <c r="L68" s="78"/>
    </row>
    <row r="69" spans="1:12" ht="42.75" customHeight="1">
      <c r="A69" s="416"/>
      <c r="B69" s="239" t="s">
        <v>297</v>
      </c>
      <c r="C69" s="237" t="s">
        <v>56</v>
      </c>
      <c r="D69" s="203">
        <v>227357.84</v>
      </c>
      <c r="E69" s="204">
        <v>508242.55</v>
      </c>
      <c r="F69" s="46"/>
      <c r="G69" s="243"/>
      <c r="H69" s="264"/>
      <c r="I69" s="204"/>
      <c r="J69" s="46"/>
      <c r="K69" s="89"/>
      <c r="L69" s="78"/>
    </row>
    <row r="70" spans="1:12" ht="42.75" customHeight="1">
      <c r="A70" s="416"/>
      <c r="B70" s="239" t="s">
        <v>298</v>
      </c>
      <c r="C70" s="237" t="s">
        <v>56</v>
      </c>
      <c r="D70" s="203">
        <v>217685.3</v>
      </c>
      <c r="E70" s="204">
        <v>499107.1</v>
      </c>
      <c r="F70" s="46"/>
      <c r="G70" s="243"/>
      <c r="H70" s="264"/>
      <c r="I70" s="204"/>
      <c r="J70" s="46"/>
      <c r="K70" s="89"/>
      <c r="L70" s="78"/>
    </row>
    <row r="71" spans="1:12" ht="42.75" customHeight="1">
      <c r="A71" s="416"/>
      <c r="B71" s="239" t="s">
        <v>299</v>
      </c>
      <c r="C71" s="237" t="s">
        <v>56</v>
      </c>
      <c r="D71" s="203">
        <v>288214.42</v>
      </c>
      <c r="E71" s="204">
        <v>571483.12</v>
      </c>
      <c r="F71" s="46"/>
      <c r="G71" s="243"/>
      <c r="H71" s="264"/>
      <c r="I71" s="204"/>
      <c r="J71" s="46"/>
      <c r="K71" s="89"/>
      <c r="L71" s="78"/>
    </row>
    <row r="72" spans="1:12" ht="42.75" customHeight="1">
      <c r="A72" s="416"/>
      <c r="B72" s="239" t="s">
        <v>300</v>
      </c>
      <c r="C72" s="237" t="s">
        <v>56</v>
      </c>
      <c r="D72" s="203">
        <v>260619.04</v>
      </c>
      <c r="E72" s="204">
        <v>539656.84</v>
      </c>
      <c r="F72" s="46"/>
      <c r="G72" s="243"/>
      <c r="H72" s="264"/>
      <c r="I72" s="204"/>
      <c r="J72" s="46"/>
      <c r="K72" s="89"/>
      <c r="L72" s="78"/>
    </row>
    <row r="73" spans="1:12" ht="42.75" customHeight="1">
      <c r="A73" s="416"/>
      <c r="B73" s="239" t="s">
        <v>301</v>
      </c>
      <c r="C73" s="237" t="s">
        <v>56</v>
      </c>
      <c r="D73" s="203">
        <v>321475.62</v>
      </c>
      <c r="E73" s="204">
        <v>602897.42</v>
      </c>
      <c r="F73" s="46"/>
      <c r="G73" s="243"/>
      <c r="H73" s="264"/>
      <c r="I73" s="204"/>
      <c r="J73" s="46"/>
      <c r="K73" s="89"/>
      <c r="L73" s="78"/>
    </row>
    <row r="74" spans="1:12" ht="42.75" customHeight="1">
      <c r="A74" s="416"/>
      <c r="B74" s="238" t="s">
        <v>302</v>
      </c>
      <c r="C74" s="237" t="s">
        <v>56</v>
      </c>
      <c r="D74" s="203"/>
      <c r="E74" s="204">
        <v>661373.23</v>
      </c>
      <c r="F74" s="46"/>
      <c r="G74" s="243"/>
      <c r="H74" s="264"/>
      <c r="I74" s="204"/>
      <c r="J74" s="46"/>
      <c r="K74" s="89"/>
      <c r="L74" s="78"/>
    </row>
    <row r="75" spans="1:12" ht="42.75" customHeight="1">
      <c r="A75" s="416"/>
      <c r="B75" s="239" t="s">
        <v>297</v>
      </c>
      <c r="C75" s="237" t="s">
        <v>56</v>
      </c>
      <c r="D75" s="203"/>
      <c r="E75" s="204">
        <v>701922.97</v>
      </c>
      <c r="F75" s="46"/>
      <c r="G75" s="243"/>
      <c r="H75" s="264"/>
      <c r="I75" s="204"/>
      <c r="J75" s="46"/>
      <c r="K75" s="89"/>
      <c r="L75" s="78"/>
    </row>
    <row r="76" spans="1:12" ht="42.75" customHeight="1">
      <c r="A76" s="416"/>
      <c r="B76" s="239" t="s">
        <v>298</v>
      </c>
      <c r="C76" s="237" t="s">
        <v>56</v>
      </c>
      <c r="D76" s="203"/>
      <c r="E76" s="204">
        <v>692787.52</v>
      </c>
      <c r="F76" s="46"/>
      <c r="G76" s="243"/>
      <c r="H76" s="264"/>
      <c r="I76" s="204"/>
      <c r="J76" s="46"/>
      <c r="K76" s="89"/>
      <c r="L76" s="78"/>
    </row>
    <row r="77" spans="1:12" ht="42.75" customHeight="1">
      <c r="A77" s="416"/>
      <c r="B77" s="239" t="s">
        <v>299</v>
      </c>
      <c r="C77" s="237" t="s">
        <v>56</v>
      </c>
      <c r="D77" s="203"/>
      <c r="E77" s="204">
        <v>765163.54</v>
      </c>
      <c r="F77" s="46"/>
      <c r="G77" s="243"/>
      <c r="H77" s="264"/>
      <c r="I77" s="204"/>
      <c r="J77" s="46"/>
      <c r="K77" s="89"/>
      <c r="L77" s="78"/>
    </row>
    <row r="78" spans="1:12" ht="42.75" customHeight="1">
      <c r="A78" s="416"/>
      <c r="B78" s="239" t="s">
        <v>300</v>
      </c>
      <c r="C78" s="237" t="s">
        <v>56</v>
      </c>
      <c r="D78" s="203"/>
      <c r="E78" s="204">
        <v>733337.26</v>
      </c>
      <c r="F78" s="46"/>
      <c r="G78" s="243"/>
      <c r="H78" s="264"/>
      <c r="I78" s="204"/>
      <c r="J78" s="46"/>
      <c r="K78" s="89"/>
      <c r="L78" s="78"/>
    </row>
    <row r="79" spans="1:12" ht="45">
      <c r="A79" s="416"/>
      <c r="B79" s="239" t="s">
        <v>301</v>
      </c>
      <c r="C79" s="237" t="s">
        <v>56</v>
      </c>
      <c r="D79" s="203"/>
      <c r="E79" s="204">
        <v>796577.84</v>
      </c>
      <c r="F79" s="46"/>
      <c r="G79" s="243"/>
      <c r="H79" s="264"/>
      <c r="I79" s="204"/>
      <c r="J79" s="46"/>
      <c r="K79" s="89"/>
      <c r="L79" s="78"/>
    </row>
    <row r="80" spans="1:12" ht="39.75" customHeight="1">
      <c r="A80" s="416"/>
      <c r="B80" s="236" t="s">
        <v>60</v>
      </c>
      <c r="C80" s="25"/>
      <c r="D80" s="33"/>
      <c r="E80" s="32"/>
      <c r="F80" s="32"/>
      <c r="G80" s="243"/>
      <c r="H80" s="87"/>
      <c r="I80" s="32"/>
      <c r="J80" s="46"/>
      <c r="K80" s="89"/>
      <c r="L80" s="78"/>
    </row>
    <row r="81" spans="1:12" ht="39.75" customHeight="1">
      <c r="A81" s="416"/>
      <c r="B81" s="238" t="s">
        <v>294</v>
      </c>
      <c r="C81" s="237" t="s">
        <v>56</v>
      </c>
      <c r="D81" s="208"/>
      <c r="E81" s="85"/>
      <c r="F81" s="85"/>
      <c r="G81" s="243"/>
      <c r="H81" s="88"/>
      <c r="I81" s="85"/>
      <c r="J81" s="46"/>
      <c r="K81" s="89"/>
      <c r="L81" s="78"/>
    </row>
    <row r="82" spans="1:12" ht="39.75" customHeight="1">
      <c r="A82" s="416"/>
      <c r="B82" s="238" t="s">
        <v>295</v>
      </c>
      <c r="C82" s="237" t="s">
        <v>56</v>
      </c>
      <c r="D82" s="208"/>
      <c r="E82" s="85"/>
      <c r="F82" s="85"/>
      <c r="G82" s="243"/>
      <c r="H82" s="88"/>
      <c r="I82" s="85"/>
      <c r="J82" s="46"/>
      <c r="K82" s="89"/>
      <c r="L82" s="78"/>
    </row>
    <row r="83" spans="1:12" ht="39.75" customHeight="1">
      <c r="A83" s="416"/>
      <c r="B83" s="238" t="s">
        <v>296</v>
      </c>
      <c r="C83" s="237" t="s">
        <v>56</v>
      </c>
      <c r="D83" s="203">
        <v>324276.71</v>
      </c>
      <c r="E83" s="204">
        <v>715783.52</v>
      </c>
      <c r="F83" s="85"/>
      <c r="G83" s="243"/>
      <c r="H83" s="264"/>
      <c r="I83" s="204"/>
      <c r="J83" s="46"/>
      <c r="K83" s="89"/>
      <c r="L83" s="78"/>
    </row>
    <row r="84" spans="1:12" ht="39.75" customHeight="1">
      <c r="A84" s="416"/>
      <c r="B84" s="239" t="s">
        <v>297</v>
      </c>
      <c r="C84" s="237" t="s">
        <v>56</v>
      </c>
      <c r="D84" s="203">
        <v>367616.18</v>
      </c>
      <c r="E84" s="204">
        <v>736249.99</v>
      </c>
      <c r="F84" s="85"/>
      <c r="G84" s="243"/>
      <c r="H84" s="264"/>
      <c r="I84" s="204"/>
      <c r="J84" s="46"/>
      <c r="K84" s="89"/>
      <c r="L84" s="78"/>
    </row>
    <row r="85" spans="1:12" ht="39.75" customHeight="1">
      <c r="A85" s="416"/>
      <c r="B85" s="239" t="s">
        <v>298</v>
      </c>
      <c r="C85" s="237" t="s">
        <v>56</v>
      </c>
      <c r="D85" s="203">
        <v>357852.23</v>
      </c>
      <c r="E85" s="204">
        <v>747494.68</v>
      </c>
      <c r="F85" s="85"/>
      <c r="G85" s="243"/>
      <c r="H85" s="264"/>
      <c r="I85" s="204"/>
      <c r="J85" s="46"/>
      <c r="K85" s="89"/>
      <c r="L85" s="78"/>
    </row>
    <row r="86" spans="1:12" ht="39.75" customHeight="1">
      <c r="A86" s="416"/>
      <c r="B86" s="239" t="s">
        <v>299</v>
      </c>
      <c r="C86" s="237" t="s">
        <v>56</v>
      </c>
      <c r="D86" s="203">
        <v>429047.85</v>
      </c>
      <c r="E86" s="204">
        <v>820554.65</v>
      </c>
      <c r="F86" s="85"/>
      <c r="G86" s="243"/>
      <c r="H86" s="264"/>
      <c r="I86" s="204"/>
      <c r="J86" s="46"/>
      <c r="K86" s="89"/>
      <c r="L86" s="78"/>
    </row>
    <row r="87" spans="1:12" ht="39.75" customHeight="1">
      <c r="A87" s="416"/>
      <c r="B87" s="239" t="s">
        <v>300</v>
      </c>
      <c r="C87" s="237" t="s">
        <v>56</v>
      </c>
      <c r="D87" s="203">
        <v>401191.7</v>
      </c>
      <c r="E87" s="204">
        <v>788427.61</v>
      </c>
      <c r="F87" s="85"/>
      <c r="G87" s="243"/>
      <c r="H87" s="264"/>
      <c r="I87" s="204"/>
      <c r="J87" s="46"/>
      <c r="K87" s="89"/>
      <c r="L87" s="78"/>
    </row>
    <row r="88" spans="1:12" ht="47.25" customHeight="1">
      <c r="A88" s="416"/>
      <c r="B88" s="239" t="s">
        <v>301</v>
      </c>
      <c r="C88" s="237" t="s">
        <v>56</v>
      </c>
      <c r="D88" s="203">
        <v>462623.37</v>
      </c>
      <c r="E88" s="204">
        <v>852265.81</v>
      </c>
      <c r="F88" s="85"/>
      <c r="G88" s="243"/>
      <c r="H88" s="264"/>
      <c r="I88" s="204"/>
      <c r="J88" s="46"/>
      <c r="K88" s="89"/>
      <c r="L88" s="78"/>
    </row>
    <row r="89" spans="1:12" ht="39.75" customHeight="1">
      <c r="A89" s="416"/>
      <c r="B89" s="238" t="s">
        <v>302</v>
      </c>
      <c r="C89" s="237" t="s">
        <v>56</v>
      </c>
      <c r="D89" s="203"/>
      <c r="E89" s="204">
        <v>988142.36</v>
      </c>
      <c r="F89" s="85"/>
      <c r="G89" s="243"/>
      <c r="H89" s="264"/>
      <c r="I89" s="204"/>
      <c r="J89" s="46"/>
      <c r="K89" s="89"/>
      <c r="L89" s="78"/>
    </row>
    <row r="90" spans="1:12" ht="39.75" customHeight="1">
      <c r="A90" s="416"/>
      <c r="B90" s="239" t="s">
        <v>297</v>
      </c>
      <c r="C90" s="237" t="s">
        <v>56</v>
      </c>
      <c r="D90" s="203"/>
      <c r="E90" s="204">
        <v>1029075.29</v>
      </c>
      <c r="F90" s="85"/>
      <c r="G90" s="243"/>
      <c r="H90" s="264"/>
      <c r="I90" s="204"/>
      <c r="J90" s="46"/>
      <c r="K90" s="89"/>
      <c r="L90" s="78"/>
    </row>
    <row r="91" spans="1:12" ht="39.75" customHeight="1">
      <c r="A91" s="416"/>
      <c r="B91" s="239" t="s">
        <v>298</v>
      </c>
      <c r="C91" s="237" t="s">
        <v>56</v>
      </c>
      <c r="D91" s="203"/>
      <c r="E91" s="204">
        <v>1019853.52</v>
      </c>
      <c r="F91" s="85"/>
      <c r="G91" s="243"/>
      <c r="H91" s="264"/>
      <c r="I91" s="204"/>
      <c r="J91" s="46"/>
      <c r="K91" s="89"/>
      <c r="L91" s="78"/>
    </row>
    <row r="92" spans="1:12" ht="39.75" customHeight="1">
      <c r="A92" s="416"/>
      <c r="B92" s="239" t="s">
        <v>299</v>
      </c>
      <c r="C92" s="237" t="s">
        <v>56</v>
      </c>
      <c r="D92" s="203"/>
      <c r="E92" s="204">
        <v>1092913.49</v>
      </c>
      <c r="F92" s="85"/>
      <c r="G92" s="243"/>
      <c r="H92" s="264"/>
      <c r="I92" s="204"/>
      <c r="J92" s="46"/>
      <c r="K92" s="89"/>
      <c r="L92" s="78"/>
    </row>
    <row r="93" spans="1:12" ht="45">
      <c r="A93" s="416"/>
      <c r="B93" s="239" t="s">
        <v>300</v>
      </c>
      <c r="C93" s="237" t="s">
        <v>56</v>
      </c>
      <c r="D93" s="203"/>
      <c r="E93" s="204">
        <v>1060786.45</v>
      </c>
      <c r="F93" s="35"/>
      <c r="G93" s="243"/>
      <c r="H93" s="264"/>
      <c r="I93" s="204"/>
      <c r="J93" s="46"/>
      <c r="K93" s="89"/>
      <c r="L93" s="78"/>
    </row>
    <row r="94" spans="1:12" ht="45">
      <c r="A94" s="416"/>
      <c r="B94" s="239" t="s">
        <v>301</v>
      </c>
      <c r="C94" s="237" t="s">
        <v>56</v>
      </c>
      <c r="D94" s="203"/>
      <c r="E94" s="204">
        <v>1124624.65</v>
      </c>
      <c r="F94" s="45"/>
      <c r="G94" s="243"/>
      <c r="H94" s="264"/>
      <c r="I94" s="204"/>
      <c r="J94" s="46"/>
      <c r="K94" s="89"/>
      <c r="L94" s="78"/>
    </row>
    <row r="95" spans="1:12" ht="39.75" customHeight="1">
      <c r="A95" s="416"/>
      <c r="B95" s="236" t="s">
        <v>61</v>
      </c>
      <c r="C95" s="25"/>
      <c r="D95" s="203"/>
      <c r="E95" s="204"/>
      <c r="F95" s="32"/>
      <c r="G95" s="243"/>
      <c r="H95" s="87"/>
      <c r="I95" s="32"/>
      <c r="J95" s="46"/>
      <c r="K95" s="89"/>
      <c r="L95" s="78"/>
    </row>
    <row r="96" spans="1:12" ht="39.75" customHeight="1">
      <c r="A96" s="416"/>
      <c r="B96" s="238" t="s">
        <v>294</v>
      </c>
      <c r="C96" s="237" t="s">
        <v>56</v>
      </c>
      <c r="D96" s="203"/>
      <c r="E96" s="204"/>
      <c r="F96" s="85"/>
      <c r="G96" s="243"/>
      <c r="H96" s="88"/>
      <c r="I96" s="85"/>
      <c r="J96" s="46"/>
      <c r="K96" s="89"/>
      <c r="L96" s="78"/>
    </row>
    <row r="97" spans="1:12" ht="39.75" customHeight="1">
      <c r="A97" s="416"/>
      <c r="B97" s="238" t="s">
        <v>295</v>
      </c>
      <c r="C97" s="237" t="s">
        <v>56</v>
      </c>
      <c r="D97" s="203"/>
      <c r="E97" s="204"/>
      <c r="F97" s="85"/>
      <c r="G97" s="243"/>
      <c r="H97" s="88"/>
      <c r="I97" s="85"/>
      <c r="J97" s="46"/>
      <c r="K97" s="89"/>
      <c r="L97" s="78"/>
    </row>
    <row r="98" spans="1:12" ht="39.75" customHeight="1">
      <c r="A98" s="416"/>
      <c r="B98" s="238" t="s">
        <v>296</v>
      </c>
      <c r="C98" s="237" t="s">
        <v>56</v>
      </c>
      <c r="D98" s="203">
        <v>386497.92</v>
      </c>
      <c r="E98" s="204">
        <v>884962.43</v>
      </c>
      <c r="F98" s="85"/>
      <c r="G98" s="243"/>
      <c r="H98" s="264"/>
      <c r="I98" s="204"/>
      <c r="J98" s="46"/>
      <c r="K98" s="89"/>
      <c r="L98" s="78"/>
    </row>
    <row r="99" spans="1:12" ht="39.75" customHeight="1">
      <c r="A99" s="416"/>
      <c r="B99" s="239" t="s">
        <v>297</v>
      </c>
      <c r="C99" s="237" t="s">
        <v>56</v>
      </c>
      <c r="D99" s="203">
        <v>429837.38</v>
      </c>
      <c r="E99" s="204">
        <v>925895.37</v>
      </c>
      <c r="F99" s="85"/>
      <c r="G99" s="243"/>
      <c r="H99" s="264"/>
      <c r="I99" s="204"/>
      <c r="J99" s="46"/>
      <c r="K99" s="89"/>
      <c r="L99" s="78"/>
    </row>
    <row r="100" spans="1:12" ht="39.75" customHeight="1">
      <c r="A100" s="416"/>
      <c r="B100" s="239" t="s">
        <v>298</v>
      </c>
      <c r="C100" s="237" t="s">
        <v>56</v>
      </c>
      <c r="D100" s="203">
        <v>420073.44</v>
      </c>
      <c r="E100" s="204">
        <v>916673.59</v>
      </c>
      <c r="F100" s="85"/>
      <c r="G100" s="243"/>
      <c r="H100" s="264"/>
      <c r="I100" s="204"/>
      <c r="J100" s="46"/>
      <c r="K100" s="89"/>
      <c r="L100" s="78"/>
    </row>
    <row r="101" spans="1:12" ht="39.75" customHeight="1">
      <c r="A101" s="416"/>
      <c r="B101" s="239" t="s">
        <v>299</v>
      </c>
      <c r="C101" s="237" t="s">
        <v>56</v>
      </c>
      <c r="D101" s="203">
        <v>491269.05</v>
      </c>
      <c r="E101" s="204">
        <v>989733.57</v>
      </c>
      <c r="F101" s="85"/>
      <c r="G101" s="243"/>
      <c r="H101" s="264"/>
      <c r="I101" s="204"/>
      <c r="J101" s="46"/>
      <c r="K101" s="89"/>
      <c r="L101" s="78"/>
    </row>
    <row r="102" spans="1:12" ht="39.75" customHeight="1">
      <c r="A102" s="416"/>
      <c r="B102" s="239" t="s">
        <v>300</v>
      </c>
      <c r="C102" s="237" t="s">
        <v>56</v>
      </c>
      <c r="D102" s="203">
        <v>463412.9</v>
      </c>
      <c r="E102" s="204">
        <v>957606.53</v>
      </c>
      <c r="F102" s="85"/>
      <c r="G102" s="243"/>
      <c r="H102" s="264"/>
      <c r="I102" s="204"/>
      <c r="J102" s="46"/>
      <c r="K102" s="89"/>
      <c r="L102" s="78"/>
    </row>
    <row r="103" spans="1:12" ht="47.25" customHeight="1">
      <c r="A103" s="416"/>
      <c r="B103" s="239" t="s">
        <v>301</v>
      </c>
      <c r="C103" s="237" t="s">
        <v>56</v>
      </c>
      <c r="D103" s="203">
        <v>524844.57</v>
      </c>
      <c r="E103" s="204">
        <v>1021444.72</v>
      </c>
      <c r="F103" s="85"/>
      <c r="G103" s="243"/>
      <c r="H103" s="264"/>
      <c r="I103" s="204"/>
      <c r="J103" s="46"/>
      <c r="K103" s="89"/>
      <c r="L103" s="78"/>
    </row>
    <row r="104" spans="1:12" ht="39.75" customHeight="1">
      <c r="A104" s="416"/>
      <c r="B104" s="238" t="s">
        <v>302</v>
      </c>
      <c r="C104" s="237" t="s">
        <v>56</v>
      </c>
      <c r="D104" s="203"/>
      <c r="E104" s="204">
        <v>1155174.04</v>
      </c>
      <c r="F104" s="85"/>
      <c r="G104" s="243"/>
      <c r="H104" s="264"/>
      <c r="I104" s="204"/>
      <c r="J104" s="46"/>
      <c r="K104" s="89"/>
      <c r="L104" s="78"/>
    </row>
    <row r="105" spans="1:12" ht="39.75" customHeight="1">
      <c r="A105" s="416"/>
      <c r="B105" s="239" t="s">
        <v>297</v>
      </c>
      <c r="C105" s="237" t="s">
        <v>56</v>
      </c>
      <c r="D105" s="203"/>
      <c r="E105" s="204">
        <v>1196106.98</v>
      </c>
      <c r="F105" s="85"/>
      <c r="G105" s="243"/>
      <c r="H105" s="264"/>
      <c r="I105" s="204"/>
      <c r="J105" s="46"/>
      <c r="K105" s="89"/>
      <c r="L105" s="78"/>
    </row>
    <row r="106" spans="1:12" ht="39.75" customHeight="1">
      <c r="A106" s="416"/>
      <c r="B106" s="239" t="s">
        <v>298</v>
      </c>
      <c r="C106" s="237" t="s">
        <v>56</v>
      </c>
      <c r="D106" s="203"/>
      <c r="E106" s="204">
        <v>1186885.2</v>
      </c>
      <c r="F106" s="85"/>
      <c r="G106" s="243"/>
      <c r="H106" s="264"/>
      <c r="I106" s="204"/>
      <c r="J106" s="46"/>
      <c r="K106" s="89"/>
      <c r="L106" s="78"/>
    </row>
    <row r="107" spans="1:12" ht="39.75" customHeight="1">
      <c r="A107" s="416"/>
      <c r="B107" s="239" t="s">
        <v>299</v>
      </c>
      <c r="C107" s="237" t="s">
        <v>56</v>
      </c>
      <c r="D107" s="203"/>
      <c r="E107" s="204">
        <v>1259945.18</v>
      </c>
      <c r="F107" s="85"/>
      <c r="G107" s="243"/>
      <c r="H107" s="264"/>
      <c r="I107" s="204"/>
      <c r="J107" s="46"/>
      <c r="K107" s="89"/>
      <c r="L107" s="78"/>
    </row>
    <row r="108" spans="1:12" ht="39.75" customHeight="1">
      <c r="A108" s="416"/>
      <c r="B108" s="239" t="s">
        <v>300</v>
      </c>
      <c r="C108" s="237" t="s">
        <v>56</v>
      </c>
      <c r="D108" s="203"/>
      <c r="E108" s="204">
        <v>1227818.13</v>
      </c>
      <c r="F108" s="85"/>
      <c r="G108" s="243"/>
      <c r="H108" s="264"/>
      <c r="I108" s="204"/>
      <c r="J108" s="46"/>
      <c r="K108" s="89"/>
      <c r="L108" s="78"/>
    </row>
    <row r="109" spans="1:12" ht="39.75" customHeight="1">
      <c r="A109" s="416"/>
      <c r="B109" s="239" t="s">
        <v>301</v>
      </c>
      <c r="C109" s="237" t="s">
        <v>56</v>
      </c>
      <c r="D109" s="203"/>
      <c r="E109" s="204">
        <v>1291656.33</v>
      </c>
      <c r="F109" s="85"/>
      <c r="G109" s="243"/>
      <c r="H109" s="264"/>
      <c r="I109" s="204"/>
      <c r="J109" s="46"/>
      <c r="K109" s="89"/>
      <c r="L109" s="78"/>
    </row>
    <row r="110" spans="1:12" ht="39" customHeight="1">
      <c r="A110" s="416"/>
      <c r="B110" s="236" t="s">
        <v>62</v>
      </c>
      <c r="C110" s="25"/>
      <c r="D110" s="203"/>
      <c r="E110" s="204"/>
      <c r="F110" s="32"/>
      <c r="G110" s="243"/>
      <c r="H110" s="87"/>
      <c r="I110" s="32"/>
      <c r="J110" s="46"/>
      <c r="K110" s="89"/>
      <c r="L110" s="78"/>
    </row>
    <row r="111" spans="1:12" ht="39" customHeight="1">
      <c r="A111" s="416"/>
      <c r="B111" s="238" t="s">
        <v>294</v>
      </c>
      <c r="C111" s="237" t="s">
        <v>56</v>
      </c>
      <c r="D111" s="203"/>
      <c r="E111" s="204"/>
      <c r="F111" s="85"/>
      <c r="G111" s="243"/>
      <c r="H111" s="88"/>
      <c r="I111" s="85"/>
      <c r="J111" s="46"/>
      <c r="K111" s="89"/>
      <c r="L111" s="78"/>
    </row>
    <row r="112" spans="1:12" ht="39" customHeight="1">
      <c r="A112" s="416"/>
      <c r="B112" s="238" t="s">
        <v>295</v>
      </c>
      <c r="C112" s="237" t="s">
        <v>56</v>
      </c>
      <c r="D112" s="203"/>
      <c r="E112" s="204"/>
      <c r="F112" s="85"/>
      <c r="G112" s="243"/>
      <c r="H112" s="88"/>
      <c r="I112" s="85"/>
      <c r="J112" s="46"/>
      <c r="K112" s="89"/>
      <c r="L112" s="78"/>
    </row>
    <row r="113" spans="1:12" ht="39" customHeight="1">
      <c r="A113" s="416"/>
      <c r="B113" s="238" t="s">
        <v>296</v>
      </c>
      <c r="C113" s="237" t="s">
        <v>56</v>
      </c>
      <c r="D113" s="203">
        <v>386497.92</v>
      </c>
      <c r="E113" s="204">
        <v>884962.43</v>
      </c>
      <c r="F113" s="85"/>
      <c r="G113" s="243"/>
      <c r="H113" s="264"/>
      <c r="I113" s="204"/>
      <c r="J113" s="46"/>
      <c r="K113" s="89"/>
      <c r="L113" s="78"/>
    </row>
    <row r="114" spans="1:12" ht="39" customHeight="1">
      <c r="A114" s="416"/>
      <c r="B114" s="239" t="s">
        <v>297</v>
      </c>
      <c r="C114" s="237" t="s">
        <v>56</v>
      </c>
      <c r="D114" s="203">
        <v>429837.38</v>
      </c>
      <c r="E114" s="204">
        <v>925895.37</v>
      </c>
      <c r="F114" s="85"/>
      <c r="G114" s="243"/>
      <c r="H114" s="264"/>
      <c r="I114" s="204"/>
      <c r="J114" s="46"/>
      <c r="K114" s="89"/>
      <c r="L114" s="78"/>
    </row>
    <row r="115" spans="1:12" ht="39" customHeight="1">
      <c r="A115" s="416"/>
      <c r="B115" s="239" t="s">
        <v>298</v>
      </c>
      <c r="C115" s="237" t="s">
        <v>56</v>
      </c>
      <c r="D115" s="203">
        <v>420073.44</v>
      </c>
      <c r="E115" s="204">
        <v>916673.59</v>
      </c>
      <c r="F115" s="85"/>
      <c r="G115" s="243"/>
      <c r="H115" s="264"/>
      <c r="I115" s="204"/>
      <c r="J115" s="46"/>
      <c r="K115" s="89"/>
      <c r="L115" s="78"/>
    </row>
    <row r="116" spans="1:12" ht="39" customHeight="1">
      <c r="A116" s="416"/>
      <c r="B116" s="239" t="s">
        <v>299</v>
      </c>
      <c r="C116" s="237" t="s">
        <v>56</v>
      </c>
      <c r="D116" s="203">
        <v>491269.05</v>
      </c>
      <c r="E116" s="204">
        <v>989733.57</v>
      </c>
      <c r="F116" s="85"/>
      <c r="G116" s="243"/>
      <c r="H116" s="264"/>
      <c r="I116" s="204"/>
      <c r="J116" s="46"/>
      <c r="K116" s="89"/>
      <c r="L116" s="78"/>
    </row>
    <row r="117" spans="1:12" ht="39" customHeight="1">
      <c r="A117" s="416"/>
      <c r="B117" s="239" t="s">
        <v>300</v>
      </c>
      <c r="C117" s="237" t="s">
        <v>56</v>
      </c>
      <c r="D117" s="203">
        <v>420073.44</v>
      </c>
      <c r="E117" s="204">
        <v>916673.59</v>
      </c>
      <c r="F117" s="85"/>
      <c r="G117" s="243"/>
      <c r="H117" s="264"/>
      <c r="I117" s="204"/>
      <c r="J117" s="46"/>
      <c r="K117" s="89"/>
      <c r="L117" s="78"/>
    </row>
    <row r="118" spans="1:12" ht="39" customHeight="1">
      <c r="A118" s="416"/>
      <c r="B118" s="239" t="s">
        <v>299</v>
      </c>
      <c r="C118" s="237" t="s">
        <v>56</v>
      </c>
      <c r="D118" s="203">
        <v>491269.05</v>
      </c>
      <c r="E118" s="204">
        <v>989733.57</v>
      </c>
      <c r="F118" s="85"/>
      <c r="G118" s="243"/>
      <c r="H118" s="264"/>
      <c r="I118" s="204"/>
      <c r="J118" s="46"/>
      <c r="K118" s="89"/>
      <c r="L118" s="78"/>
    </row>
    <row r="119" spans="1:12" ht="39" customHeight="1">
      <c r="A119" s="416"/>
      <c r="B119" s="239" t="s">
        <v>303</v>
      </c>
      <c r="C119" s="237" t="s">
        <v>56</v>
      </c>
      <c r="D119" s="203">
        <v>463412.9</v>
      </c>
      <c r="E119" s="204">
        <v>957606.53</v>
      </c>
      <c r="F119" s="85"/>
      <c r="G119" s="243"/>
      <c r="H119" s="264"/>
      <c r="I119" s="204"/>
      <c r="J119" s="46"/>
      <c r="K119" s="89"/>
      <c r="L119" s="78"/>
    </row>
    <row r="120" spans="1:12" ht="48.75" customHeight="1">
      <c r="A120" s="416"/>
      <c r="B120" s="240" t="s">
        <v>301</v>
      </c>
      <c r="C120" s="237" t="s">
        <v>56</v>
      </c>
      <c r="D120" s="203">
        <v>524844.57</v>
      </c>
      <c r="E120" s="204">
        <v>1021444.72</v>
      </c>
      <c r="F120" s="85"/>
      <c r="G120" s="243"/>
      <c r="H120" s="264"/>
      <c r="I120" s="204"/>
      <c r="J120" s="46"/>
      <c r="K120" s="89"/>
      <c r="L120" s="78"/>
    </row>
    <row r="121" spans="1:12" ht="39" customHeight="1">
      <c r="A121" s="416"/>
      <c r="B121" s="241" t="s">
        <v>302</v>
      </c>
      <c r="C121" s="237" t="s">
        <v>56</v>
      </c>
      <c r="D121" s="203"/>
      <c r="E121" s="204">
        <v>1155174.04</v>
      </c>
      <c r="F121" s="85"/>
      <c r="G121" s="243"/>
      <c r="H121" s="264"/>
      <c r="I121" s="204"/>
      <c r="J121" s="46"/>
      <c r="K121" s="89"/>
      <c r="L121" s="78"/>
    </row>
    <row r="122" spans="1:12" ht="39" customHeight="1">
      <c r="A122" s="416"/>
      <c r="B122" s="239" t="s">
        <v>304</v>
      </c>
      <c r="C122" s="237" t="s">
        <v>56</v>
      </c>
      <c r="D122" s="209"/>
      <c r="E122" s="204">
        <v>1196106.98</v>
      </c>
      <c r="F122" s="85"/>
      <c r="G122" s="243"/>
      <c r="H122" s="266"/>
      <c r="I122" s="204"/>
      <c r="J122" s="46"/>
      <c r="K122" s="89"/>
      <c r="L122" s="78"/>
    </row>
    <row r="123" spans="1:12" ht="39" customHeight="1">
      <c r="A123" s="416"/>
      <c r="B123" s="239" t="s">
        <v>305</v>
      </c>
      <c r="C123" s="237" t="s">
        <v>56</v>
      </c>
      <c r="D123" s="209"/>
      <c r="E123" s="204">
        <v>1186885.2</v>
      </c>
      <c r="F123" s="85"/>
      <c r="G123" s="243"/>
      <c r="H123" s="266"/>
      <c r="I123" s="204"/>
      <c r="J123" s="46"/>
      <c r="K123" s="89"/>
      <c r="L123" s="78"/>
    </row>
    <row r="124" spans="1:12" ht="39" customHeight="1">
      <c r="A124" s="416"/>
      <c r="B124" s="239" t="s">
        <v>306</v>
      </c>
      <c r="C124" s="237" t="s">
        <v>56</v>
      </c>
      <c r="D124" s="209"/>
      <c r="E124" s="204">
        <v>1259945.18</v>
      </c>
      <c r="F124" s="85"/>
      <c r="G124" s="243"/>
      <c r="H124" s="266"/>
      <c r="I124" s="204"/>
      <c r="J124" s="46"/>
      <c r="K124" s="89"/>
      <c r="L124" s="78"/>
    </row>
    <row r="125" spans="1:12" ht="45">
      <c r="A125" s="416"/>
      <c r="B125" s="239" t="s">
        <v>307</v>
      </c>
      <c r="C125" s="237" t="s">
        <v>56</v>
      </c>
      <c r="D125" s="209"/>
      <c r="E125" s="204">
        <v>1227818.13</v>
      </c>
      <c r="F125" s="35"/>
      <c r="G125" s="243"/>
      <c r="H125" s="266"/>
      <c r="I125" s="204"/>
      <c r="J125" s="46"/>
      <c r="K125" s="89"/>
      <c r="L125" s="78"/>
    </row>
    <row r="126" spans="1:12" ht="45.75" thickBot="1">
      <c r="A126" s="416"/>
      <c r="B126" s="240" t="s">
        <v>308</v>
      </c>
      <c r="C126" s="245" t="s">
        <v>56</v>
      </c>
      <c r="D126" s="209"/>
      <c r="E126" s="204">
        <v>1291656.33</v>
      </c>
      <c r="F126" s="45"/>
      <c r="G126" s="246"/>
      <c r="H126" s="267"/>
      <c r="I126" s="268"/>
      <c r="J126" s="212"/>
      <c r="K126" s="269"/>
      <c r="L126" s="78"/>
    </row>
    <row r="127" spans="1:12" ht="45" customHeight="1" thickBot="1">
      <c r="A127" s="415" t="s">
        <v>188</v>
      </c>
      <c r="B127" s="407" t="s">
        <v>201</v>
      </c>
      <c r="C127" s="408"/>
      <c r="D127" s="408"/>
      <c r="E127" s="408"/>
      <c r="F127" s="408"/>
      <c r="G127" s="408"/>
      <c r="H127" s="409"/>
      <c r="I127" s="409"/>
      <c r="J127" s="409"/>
      <c r="K127" s="410"/>
      <c r="L127" s="79"/>
    </row>
    <row r="128" spans="1:12" ht="40.5" customHeight="1">
      <c r="A128" s="416"/>
      <c r="B128" s="247" t="s">
        <v>314</v>
      </c>
      <c r="C128" s="248" t="s">
        <v>38</v>
      </c>
      <c r="D128" s="431">
        <v>5975.127834862338</v>
      </c>
      <c r="E128" s="432"/>
      <c r="F128" s="84"/>
      <c r="G128" s="52"/>
      <c r="H128" s="425"/>
      <c r="I128" s="426"/>
      <c r="J128" s="270"/>
      <c r="K128" s="262"/>
      <c r="L128" s="78"/>
    </row>
    <row r="129" spans="1:12" ht="40.5" customHeight="1">
      <c r="A129" s="416"/>
      <c r="B129" s="218" t="s">
        <v>74</v>
      </c>
      <c r="C129" s="242" t="s">
        <v>38</v>
      </c>
      <c r="D129" s="413">
        <v>1340.1234697691013</v>
      </c>
      <c r="E129" s="414"/>
      <c r="F129" s="83"/>
      <c r="G129" s="243"/>
      <c r="H129" s="427"/>
      <c r="I129" s="428"/>
      <c r="J129" s="83"/>
      <c r="K129" s="89"/>
      <c r="L129" s="78"/>
    </row>
    <row r="130" spans="1:12" ht="38.25" customHeight="1" thickBot="1">
      <c r="A130" s="416"/>
      <c r="B130" s="249" t="s">
        <v>63</v>
      </c>
      <c r="C130" s="250" t="s">
        <v>38</v>
      </c>
      <c r="D130" s="429">
        <v>218.26538671851264</v>
      </c>
      <c r="E130" s="430"/>
      <c r="F130" s="251"/>
      <c r="G130" s="252"/>
      <c r="H130" s="433"/>
      <c r="I130" s="434"/>
      <c r="J130" s="216"/>
      <c r="K130" s="215"/>
      <c r="L130" s="78"/>
    </row>
    <row r="131" spans="1:12" ht="55.5" customHeight="1" thickBot="1">
      <c r="A131" s="416"/>
      <c r="B131" s="407" t="s">
        <v>202</v>
      </c>
      <c r="C131" s="408"/>
      <c r="D131" s="408"/>
      <c r="E131" s="408"/>
      <c r="F131" s="408"/>
      <c r="G131" s="408"/>
      <c r="H131" s="409"/>
      <c r="I131" s="409"/>
      <c r="J131" s="409"/>
      <c r="K131" s="410"/>
      <c r="L131" s="80"/>
    </row>
    <row r="132" spans="1:12" ht="36" customHeight="1">
      <c r="A132" s="416"/>
      <c r="B132" s="247" t="s">
        <v>64</v>
      </c>
      <c r="C132" s="248" t="s">
        <v>38</v>
      </c>
      <c r="D132" s="431">
        <v>10423.784094610928</v>
      </c>
      <c r="E132" s="432"/>
      <c r="F132" s="30"/>
      <c r="G132" s="52"/>
      <c r="H132" s="435"/>
      <c r="I132" s="436"/>
      <c r="J132" s="270"/>
      <c r="K132" s="262"/>
      <c r="L132" s="78"/>
    </row>
    <row r="133" spans="1:12" ht="38.25" customHeight="1">
      <c r="A133" s="416"/>
      <c r="B133" s="218" t="s">
        <v>315</v>
      </c>
      <c r="C133" s="242" t="s">
        <v>38</v>
      </c>
      <c r="D133" s="413">
        <v>1882.2586597604402</v>
      </c>
      <c r="E133" s="414"/>
      <c r="F133" s="46"/>
      <c r="G133" s="243"/>
      <c r="H133" s="411"/>
      <c r="I133" s="412"/>
      <c r="J133" s="83"/>
      <c r="K133" s="89"/>
      <c r="L133" s="78"/>
    </row>
    <row r="134" spans="1:12" ht="33.75" customHeight="1">
      <c r="A134" s="416"/>
      <c r="B134" s="218" t="s">
        <v>65</v>
      </c>
      <c r="C134" s="242" t="s">
        <v>38</v>
      </c>
      <c r="D134" s="413">
        <v>1922.539057991514</v>
      </c>
      <c r="E134" s="414"/>
      <c r="F134" s="46"/>
      <c r="G134" s="243"/>
      <c r="H134" s="411"/>
      <c r="I134" s="412"/>
      <c r="J134" s="83"/>
      <c r="K134" s="89"/>
      <c r="L134" s="78"/>
    </row>
    <row r="135" spans="1:12" ht="32.25" customHeight="1">
      <c r="A135" s="416"/>
      <c r="B135" s="218" t="s">
        <v>66</v>
      </c>
      <c r="C135" s="242" t="s">
        <v>38</v>
      </c>
      <c r="D135" s="413">
        <v>1268.1058387508353</v>
      </c>
      <c r="E135" s="414"/>
      <c r="F135" s="46"/>
      <c r="G135" s="243"/>
      <c r="H135" s="411"/>
      <c r="I135" s="412"/>
      <c r="J135" s="83"/>
      <c r="K135" s="89"/>
      <c r="L135" s="78"/>
    </row>
    <row r="136" spans="1:12" ht="32.25" customHeight="1">
      <c r="A136" s="416"/>
      <c r="B136" s="218" t="s">
        <v>67</v>
      </c>
      <c r="C136" s="242" t="s">
        <v>38</v>
      </c>
      <c r="D136" s="413">
        <v>1542.4670271583934</v>
      </c>
      <c r="E136" s="414"/>
      <c r="F136" s="46"/>
      <c r="G136" s="243"/>
      <c r="H136" s="411"/>
      <c r="I136" s="412"/>
      <c r="J136" s="83"/>
      <c r="K136" s="89"/>
      <c r="L136" s="78"/>
    </row>
    <row r="137" spans="1:12" ht="32.25" customHeight="1">
      <c r="A137" s="416"/>
      <c r="B137" s="218" t="s">
        <v>68</v>
      </c>
      <c r="C137" s="242" t="s">
        <v>38</v>
      </c>
      <c r="D137" s="46"/>
      <c r="E137" s="46"/>
      <c r="F137" s="46"/>
      <c r="G137" s="243"/>
      <c r="H137" s="263"/>
      <c r="I137" s="46"/>
      <c r="J137" s="83"/>
      <c r="K137" s="89"/>
      <c r="L137" s="78"/>
    </row>
    <row r="138" spans="1:12" ht="32.25" customHeight="1" thickBot="1">
      <c r="A138" s="417"/>
      <c r="B138" s="219" t="s">
        <v>69</v>
      </c>
      <c r="C138" s="211" t="s">
        <v>38</v>
      </c>
      <c r="D138" s="212"/>
      <c r="E138" s="213"/>
      <c r="F138" s="214"/>
      <c r="G138" s="244"/>
      <c r="H138" s="265"/>
      <c r="I138" s="214"/>
      <c r="J138" s="214"/>
      <c r="K138" s="215"/>
      <c r="L138" s="78"/>
    </row>
    <row r="139" spans="1:7" ht="15" customHeight="1">
      <c r="A139" s="406"/>
      <c r="B139" s="406"/>
      <c r="C139" s="406"/>
      <c r="D139" s="406"/>
      <c r="E139" s="406"/>
      <c r="F139" s="406"/>
      <c r="G139" s="406"/>
    </row>
    <row r="140" spans="1:7" ht="12.75">
      <c r="A140" s="406"/>
      <c r="B140" s="406"/>
      <c r="C140" s="406"/>
      <c r="D140" s="406"/>
      <c r="E140" s="406"/>
      <c r="F140" s="406"/>
      <c r="G140" s="406"/>
    </row>
    <row r="141" spans="1:12" ht="37.5" customHeight="1">
      <c r="A141" s="67" t="s">
        <v>157</v>
      </c>
      <c r="B141" s="422" t="s">
        <v>189</v>
      </c>
      <c r="C141" s="422"/>
      <c r="D141" s="422"/>
      <c r="E141" s="422"/>
      <c r="F141" s="422"/>
      <c r="G141" s="422"/>
      <c r="H141" s="422"/>
      <c r="I141" s="424"/>
      <c r="J141" s="424"/>
      <c r="K141" s="424"/>
      <c r="L141" s="70"/>
    </row>
    <row r="142" spans="1:12" ht="52.5" customHeight="1">
      <c r="A142" s="67" t="s">
        <v>158</v>
      </c>
      <c r="B142" s="422" t="s">
        <v>191</v>
      </c>
      <c r="C142" s="422"/>
      <c r="D142" s="422"/>
      <c r="E142" s="422"/>
      <c r="F142" s="422"/>
      <c r="G142" s="422"/>
      <c r="H142" s="422"/>
      <c r="I142" s="423"/>
      <c r="J142" s="423"/>
      <c r="K142" s="423"/>
      <c r="L142" s="24"/>
    </row>
    <row r="143" spans="1:12" ht="52.5" customHeight="1">
      <c r="A143" s="67" t="s">
        <v>193</v>
      </c>
      <c r="B143" s="422" t="s">
        <v>212</v>
      </c>
      <c r="C143" s="422"/>
      <c r="D143" s="422"/>
      <c r="E143" s="422"/>
      <c r="F143" s="422"/>
      <c r="G143" s="422"/>
      <c r="H143" s="422"/>
      <c r="I143" s="423"/>
      <c r="J143" s="423"/>
      <c r="K143" s="423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63.75" customHeight="1">
      <c r="A145" s="460" t="s">
        <v>316</v>
      </c>
      <c r="B145" s="460"/>
      <c r="C145" s="341" t="s">
        <v>317</v>
      </c>
      <c r="D145" s="341"/>
      <c r="E145" s="341"/>
      <c r="F145" s="341"/>
      <c r="G145" s="461"/>
      <c r="H145" s="462"/>
      <c r="I145" s="463" t="s">
        <v>318</v>
      </c>
      <c r="J145" s="463"/>
      <c r="K145" s="463"/>
      <c r="L145" s="24"/>
    </row>
    <row r="146" spans="1:12" ht="20.25">
      <c r="A146" s="343"/>
      <c r="B146" s="344"/>
      <c r="C146" s="345"/>
      <c r="D146" s="345"/>
      <c r="E146" s="345"/>
      <c r="F146" s="345"/>
      <c r="G146" s="346"/>
      <c r="H146" s="347"/>
      <c r="I146" s="348"/>
      <c r="J146" s="348"/>
      <c r="K146" s="348"/>
      <c r="L146" s="24"/>
    </row>
    <row r="147" spans="1:12" ht="20.25" customHeight="1">
      <c r="A147" s="464" t="s">
        <v>319</v>
      </c>
      <c r="B147" s="465"/>
      <c r="C147" s="345" t="s">
        <v>317</v>
      </c>
      <c r="D147" s="345"/>
      <c r="E147" s="345"/>
      <c r="F147" s="345"/>
      <c r="G147" s="461"/>
      <c r="H147" s="462"/>
      <c r="I147" s="466" t="s">
        <v>320</v>
      </c>
      <c r="J147" s="466"/>
      <c r="K147" s="466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</sheetData>
  <sheetProtection/>
  <mergeCells count="49">
    <mergeCell ref="A147:B147"/>
    <mergeCell ref="G147:H147"/>
    <mergeCell ref="I147:K147"/>
    <mergeCell ref="A7:K7"/>
    <mergeCell ref="A9:A11"/>
    <mergeCell ref="B12:K12"/>
    <mergeCell ref="A145:B145"/>
    <mergeCell ref="G145:H145"/>
    <mergeCell ref="I145:K145"/>
    <mergeCell ref="A49:A126"/>
    <mergeCell ref="A5:K5"/>
    <mergeCell ref="B9:B11"/>
    <mergeCell ref="H10:K10"/>
    <mergeCell ref="D9:K9"/>
    <mergeCell ref="D3:G3"/>
    <mergeCell ref="A33:A48"/>
    <mergeCell ref="D10:G10"/>
    <mergeCell ref="C9:C11"/>
    <mergeCell ref="B49:K49"/>
    <mergeCell ref="D133:E133"/>
    <mergeCell ref="B131:K131"/>
    <mergeCell ref="H130:I130"/>
    <mergeCell ref="H132:I132"/>
    <mergeCell ref="H134:I134"/>
    <mergeCell ref="E1:H1"/>
    <mergeCell ref="F2:H2"/>
    <mergeCell ref="B33:K33"/>
    <mergeCell ref="D128:E128"/>
    <mergeCell ref="A6:K6"/>
    <mergeCell ref="O12:P12"/>
    <mergeCell ref="M13:N13"/>
    <mergeCell ref="M12:N12"/>
    <mergeCell ref="B143:K143"/>
    <mergeCell ref="B141:K141"/>
    <mergeCell ref="D129:E129"/>
    <mergeCell ref="H128:I128"/>
    <mergeCell ref="H129:I129"/>
    <mergeCell ref="D130:E130"/>
    <mergeCell ref="B142:K142"/>
    <mergeCell ref="A139:G140"/>
    <mergeCell ref="B127:K127"/>
    <mergeCell ref="H135:I135"/>
    <mergeCell ref="D134:E134"/>
    <mergeCell ref="D135:E135"/>
    <mergeCell ref="D136:E136"/>
    <mergeCell ref="A127:A138"/>
    <mergeCell ref="H133:I133"/>
    <mergeCell ref="H136:I136"/>
    <mergeCell ref="D132:E132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53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H199"/>
  <sheetViews>
    <sheetView showGridLines="0" view="pageBreakPreview" zoomScale="85" zoomScaleNormal="70" zoomScaleSheetLayoutView="85" zoomScalePageLayoutView="0" workbookViewId="0" topLeftCell="A2">
      <selection activeCell="A6" sqref="A6:F6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6" s="1" customFormat="1" ht="15.75" hidden="1">
      <c r="A1" s="9"/>
      <c r="B1" s="3"/>
      <c r="D1" s="472" t="s">
        <v>332</v>
      </c>
      <c r="E1" s="472"/>
      <c r="F1" s="472"/>
    </row>
    <row r="2" spans="1:6" s="1" customFormat="1" ht="15.75" customHeight="1">
      <c r="A2" s="9"/>
      <c r="B2" s="3"/>
      <c r="D2" s="437" t="s">
        <v>205</v>
      </c>
      <c r="E2" s="437"/>
      <c r="F2" s="437"/>
    </row>
    <row r="3" spans="1:6" s="1" customFormat="1" ht="15.75" customHeight="1">
      <c r="A3" s="9"/>
      <c r="B3" s="3"/>
      <c r="E3" s="53"/>
      <c r="F3" s="437" t="s">
        <v>89</v>
      </c>
    </row>
    <row r="4" spans="1:6" s="6" customFormat="1" ht="18">
      <c r="A4" s="9"/>
      <c r="B4" s="3"/>
      <c r="C4" s="1"/>
      <c r="D4" s="66"/>
      <c r="E4" s="66"/>
      <c r="F4" s="437"/>
    </row>
    <row r="5" spans="1:8" ht="47.25" customHeight="1">
      <c r="A5" s="6"/>
      <c r="B5" s="6"/>
      <c r="D5" s="6"/>
      <c r="E5" s="6"/>
      <c r="F5" s="6"/>
      <c r="G5" s="473"/>
      <c r="H5" s="473"/>
    </row>
    <row r="6" spans="1:8" ht="20.25" customHeight="1">
      <c r="A6" s="469" t="s">
        <v>112</v>
      </c>
      <c r="B6" s="469"/>
      <c r="C6" s="469"/>
      <c r="D6" s="469"/>
      <c r="E6" s="469"/>
      <c r="F6" s="469"/>
      <c r="G6" s="14"/>
      <c r="H6" s="14"/>
    </row>
    <row r="7" spans="1:6" ht="45" customHeight="1">
      <c r="A7" s="469" t="s">
        <v>113</v>
      </c>
      <c r="B7" s="469"/>
      <c r="C7" s="469"/>
      <c r="D7" s="469"/>
      <c r="E7" s="469"/>
      <c r="F7" s="469"/>
    </row>
    <row r="8" spans="1:6" ht="19.5" customHeight="1" thickBot="1">
      <c r="A8" s="340"/>
      <c r="B8" s="340"/>
      <c r="C8" s="340"/>
      <c r="D8" s="340"/>
      <c r="E8" s="340"/>
      <c r="F8" s="340"/>
    </row>
    <row r="9" spans="1:6" ht="84" customHeight="1">
      <c r="A9" s="474" t="s">
        <v>39</v>
      </c>
      <c r="B9" s="354" t="s">
        <v>40</v>
      </c>
      <c r="C9" s="355" t="s">
        <v>41</v>
      </c>
      <c r="D9" s="356" t="s">
        <v>323</v>
      </c>
      <c r="E9" s="357" t="s">
        <v>324</v>
      </c>
      <c r="F9" s="358" t="s">
        <v>325</v>
      </c>
    </row>
    <row r="10" spans="1:6" s="386" customFormat="1" ht="12.75">
      <c r="A10" s="475"/>
      <c r="B10" s="359" t="s">
        <v>213</v>
      </c>
      <c r="C10" s="359" t="s">
        <v>214</v>
      </c>
      <c r="D10" s="359" t="s">
        <v>215</v>
      </c>
      <c r="E10" s="359" t="s">
        <v>216</v>
      </c>
      <c r="F10" s="360" t="s">
        <v>217</v>
      </c>
    </row>
    <row r="11" spans="1:6" ht="58.5" customHeight="1">
      <c r="A11" s="361"/>
      <c r="B11" s="362" t="s">
        <v>17</v>
      </c>
      <c r="C11" s="363"/>
      <c r="D11" s="279">
        <v>375092307.17847586</v>
      </c>
      <c r="E11" s="280" t="s">
        <v>43</v>
      </c>
      <c r="F11" s="281" t="s">
        <v>43</v>
      </c>
    </row>
    <row r="12" spans="1:6" ht="58.5" customHeight="1" hidden="1">
      <c r="A12" s="361"/>
      <c r="B12" s="364" t="s">
        <v>326</v>
      </c>
      <c r="C12" s="363"/>
      <c r="D12" s="282">
        <v>1919865.9000000001</v>
      </c>
      <c r="E12" s="282">
        <v>4119</v>
      </c>
      <c r="F12" s="281">
        <v>466.1</v>
      </c>
    </row>
    <row r="13" spans="1:6" ht="70.5" customHeight="1">
      <c r="A13" s="365">
        <v>1</v>
      </c>
      <c r="B13" s="362" t="s">
        <v>218</v>
      </c>
      <c r="C13" s="362"/>
      <c r="D13" s="279">
        <v>27650532.44666631</v>
      </c>
      <c r="E13" s="279">
        <v>77944.29666666668</v>
      </c>
      <c r="F13" s="283">
        <v>354.7473468766473</v>
      </c>
    </row>
    <row r="14" spans="1:6" ht="26.25" customHeight="1">
      <c r="A14" s="365" t="s">
        <v>23</v>
      </c>
      <c r="B14" s="362" t="s">
        <v>106</v>
      </c>
      <c r="C14" s="362"/>
      <c r="D14" s="279"/>
      <c r="E14" s="279"/>
      <c r="F14" s="283"/>
    </row>
    <row r="15" spans="1:6" ht="26.25" customHeight="1">
      <c r="A15" s="365"/>
      <c r="B15" s="366" t="s">
        <v>327</v>
      </c>
      <c r="C15" s="362"/>
      <c r="D15" s="282">
        <v>22515182.58008522</v>
      </c>
      <c r="E15" s="282">
        <v>34927.99</v>
      </c>
      <c r="F15" s="281">
        <v>644.6171846729578</v>
      </c>
    </row>
    <row r="16" spans="1:6" ht="40.5">
      <c r="A16" s="361"/>
      <c r="B16" s="364" t="s">
        <v>219</v>
      </c>
      <c r="C16" s="367"/>
      <c r="D16" s="282">
        <v>2929870.8091589413</v>
      </c>
      <c r="E16" s="282">
        <v>2998.103333333333</v>
      </c>
      <c r="F16" s="281">
        <v>977.2414368058055</v>
      </c>
    </row>
    <row r="17" spans="1:6" ht="42" customHeight="1">
      <c r="A17" s="361"/>
      <c r="B17" s="366" t="s">
        <v>328</v>
      </c>
      <c r="C17" s="367">
        <v>0.4</v>
      </c>
      <c r="D17" s="282">
        <v>586469.2232270889</v>
      </c>
      <c r="E17" s="282">
        <v>4314.93</v>
      </c>
      <c r="F17" s="281">
        <v>135.91627748934255</v>
      </c>
    </row>
    <row r="18" spans="1:6" ht="39.75" customHeight="1">
      <c r="A18" s="361"/>
      <c r="B18" s="366" t="s">
        <v>328</v>
      </c>
      <c r="C18" s="368" t="s">
        <v>15</v>
      </c>
      <c r="D18" s="282">
        <v>811055.4366802148</v>
      </c>
      <c r="E18" s="282">
        <v>6146.483333333334</v>
      </c>
      <c r="F18" s="281">
        <v>131.954386385746</v>
      </c>
    </row>
    <row r="19" spans="1:6" ht="36.75" customHeight="1">
      <c r="A19" s="361"/>
      <c r="B19" s="366" t="s">
        <v>49</v>
      </c>
      <c r="C19" s="367">
        <v>0.4</v>
      </c>
      <c r="D19" s="282">
        <v>69513.77385269412</v>
      </c>
      <c r="E19" s="282">
        <v>1902.6000000000001</v>
      </c>
      <c r="F19" s="281">
        <v>36.536199859504954</v>
      </c>
    </row>
    <row r="20" spans="1:6" ht="32.25" customHeight="1">
      <c r="A20" s="361"/>
      <c r="B20" s="366" t="s">
        <v>50</v>
      </c>
      <c r="C20" s="368" t="s">
        <v>15</v>
      </c>
      <c r="D20" s="282">
        <v>482709.7167227766</v>
      </c>
      <c r="E20" s="280">
        <v>10198.423333333334</v>
      </c>
      <c r="F20" s="281">
        <v>47.33179835210899</v>
      </c>
    </row>
    <row r="21" spans="1:6" ht="33" customHeight="1">
      <c r="A21" s="369"/>
      <c r="B21" s="364" t="s">
        <v>46</v>
      </c>
      <c r="C21" s="368" t="s">
        <v>15</v>
      </c>
      <c r="D21" s="282">
        <v>148470.70700888586</v>
      </c>
      <c r="E21" s="280">
        <v>11846.433333333334</v>
      </c>
      <c r="F21" s="281">
        <v>12.532945810037269</v>
      </c>
    </row>
    <row r="22" spans="1:6" ht="33" customHeight="1">
      <c r="A22" s="369"/>
      <c r="B22" s="366" t="s">
        <v>50</v>
      </c>
      <c r="C22" s="368" t="s">
        <v>77</v>
      </c>
      <c r="D22" s="282">
        <v>57776.787416277664</v>
      </c>
      <c r="E22" s="280">
        <v>1972.6666666666667</v>
      </c>
      <c r="F22" s="281">
        <v>29.288672228596315</v>
      </c>
    </row>
    <row r="23" spans="1:6" ht="33" customHeight="1">
      <c r="A23" s="369"/>
      <c r="B23" s="364" t="s">
        <v>46</v>
      </c>
      <c r="C23" s="368" t="s">
        <v>77</v>
      </c>
      <c r="D23" s="282">
        <v>15282.945302069415</v>
      </c>
      <c r="E23" s="280">
        <v>800</v>
      </c>
      <c r="F23" s="281">
        <v>19.103681627586766</v>
      </c>
    </row>
    <row r="24" spans="1:6" ht="33" customHeight="1">
      <c r="A24" s="369"/>
      <c r="B24" s="366" t="s">
        <v>50</v>
      </c>
      <c r="C24" s="368" t="s">
        <v>78</v>
      </c>
      <c r="D24" s="282">
        <v>14444.196854069416</v>
      </c>
      <c r="E24" s="280">
        <v>670</v>
      </c>
      <c r="F24" s="281">
        <v>21.558502767267786</v>
      </c>
    </row>
    <row r="25" spans="1:6" ht="33" customHeight="1">
      <c r="A25" s="369"/>
      <c r="B25" s="364" t="s">
        <v>46</v>
      </c>
      <c r="C25" s="368" t="s">
        <v>78</v>
      </c>
      <c r="D25" s="282">
        <v>19756.270358069414</v>
      </c>
      <c r="E25" s="280">
        <v>2166.6666666666665</v>
      </c>
      <c r="F25" s="281">
        <v>9.118278626801269</v>
      </c>
    </row>
    <row r="26" spans="1:6" ht="33" customHeight="1">
      <c r="A26" s="370" t="s">
        <v>24</v>
      </c>
      <c r="B26" s="371" t="s">
        <v>220</v>
      </c>
      <c r="C26" s="368"/>
      <c r="D26" s="282"/>
      <c r="E26" s="280"/>
      <c r="F26" s="281"/>
    </row>
    <row r="27" spans="1:6" ht="60.75">
      <c r="A27" s="370" t="s">
        <v>42</v>
      </c>
      <c r="B27" s="362" t="s">
        <v>221</v>
      </c>
      <c r="C27" s="362"/>
      <c r="D27" s="282"/>
      <c r="E27" s="282">
        <v>77944.29666666668</v>
      </c>
      <c r="F27" s="281">
        <v>0</v>
      </c>
    </row>
    <row r="28" spans="1:6" ht="20.25">
      <c r="A28" s="370"/>
      <c r="B28" s="366" t="s">
        <v>327</v>
      </c>
      <c r="C28" s="362"/>
      <c r="D28" s="282"/>
      <c r="E28" s="282">
        <v>34927.99</v>
      </c>
      <c r="F28" s="281"/>
    </row>
    <row r="29" spans="1:6" ht="45.75" customHeight="1">
      <c r="A29" s="369"/>
      <c r="B29" s="364" t="s">
        <v>329</v>
      </c>
      <c r="C29" s="364"/>
      <c r="D29" s="282"/>
      <c r="E29" s="282">
        <v>2998.103333333333</v>
      </c>
      <c r="F29" s="281">
        <v>0</v>
      </c>
    </row>
    <row r="30" spans="1:6" ht="43.5" customHeight="1">
      <c r="A30" s="369"/>
      <c r="B30" s="366" t="s">
        <v>330</v>
      </c>
      <c r="C30" s="367">
        <v>0.4</v>
      </c>
      <c r="D30" s="282"/>
      <c r="E30" s="282">
        <v>4314.93</v>
      </c>
      <c r="F30" s="281">
        <v>0</v>
      </c>
    </row>
    <row r="31" spans="1:6" ht="41.25" customHeight="1">
      <c r="A31" s="369"/>
      <c r="B31" s="366" t="s">
        <v>330</v>
      </c>
      <c r="C31" s="368" t="s">
        <v>15</v>
      </c>
      <c r="D31" s="282"/>
      <c r="E31" s="282">
        <v>6146.483333333334</v>
      </c>
      <c r="F31" s="281">
        <v>0</v>
      </c>
    </row>
    <row r="32" spans="1:6" ht="39" customHeight="1">
      <c r="A32" s="369"/>
      <c r="B32" s="366" t="s">
        <v>331</v>
      </c>
      <c r="C32" s="367">
        <v>0.4</v>
      </c>
      <c r="D32" s="282"/>
      <c r="E32" s="282">
        <v>1902.6000000000001</v>
      </c>
      <c r="F32" s="281">
        <v>0</v>
      </c>
    </row>
    <row r="33" spans="1:6" ht="36.75" customHeight="1">
      <c r="A33" s="369"/>
      <c r="B33" s="366" t="s">
        <v>50</v>
      </c>
      <c r="C33" s="368" t="s">
        <v>15</v>
      </c>
      <c r="D33" s="282"/>
      <c r="E33" s="282">
        <v>10198.423333333334</v>
      </c>
      <c r="F33" s="281">
        <v>0</v>
      </c>
    </row>
    <row r="34" spans="1:6" ht="30.75" customHeight="1">
      <c r="A34" s="369"/>
      <c r="B34" s="364" t="s">
        <v>46</v>
      </c>
      <c r="C34" s="368" t="s">
        <v>15</v>
      </c>
      <c r="D34" s="282"/>
      <c r="E34" s="282">
        <v>11846.433333333334</v>
      </c>
      <c r="F34" s="281">
        <v>0</v>
      </c>
    </row>
    <row r="35" spans="1:6" ht="30.75" customHeight="1">
      <c r="A35" s="369"/>
      <c r="B35" s="366" t="s">
        <v>50</v>
      </c>
      <c r="C35" s="368" t="s">
        <v>77</v>
      </c>
      <c r="D35" s="282"/>
      <c r="E35" s="282">
        <v>1972.6666666666667</v>
      </c>
      <c r="F35" s="281">
        <v>0</v>
      </c>
    </row>
    <row r="36" spans="1:6" ht="30.75" customHeight="1">
      <c r="A36" s="369"/>
      <c r="B36" s="364" t="s">
        <v>46</v>
      </c>
      <c r="C36" s="368" t="s">
        <v>77</v>
      </c>
      <c r="D36" s="282"/>
      <c r="E36" s="282">
        <v>800</v>
      </c>
      <c r="F36" s="281">
        <v>0</v>
      </c>
    </row>
    <row r="37" spans="1:6" ht="30.75" customHeight="1">
      <c r="A37" s="369"/>
      <c r="B37" s="366" t="s">
        <v>50</v>
      </c>
      <c r="C37" s="368" t="s">
        <v>78</v>
      </c>
      <c r="D37" s="282"/>
      <c r="E37" s="282">
        <v>670</v>
      </c>
      <c r="F37" s="281">
        <v>0</v>
      </c>
    </row>
    <row r="38" spans="1:6" ht="30.75" customHeight="1">
      <c r="A38" s="369"/>
      <c r="B38" s="364" t="s">
        <v>46</v>
      </c>
      <c r="C38" s="368" t="s">
        <v>78</v>
      </c>
      <c r="D38" s="282"/>
      <c r="E38" s="282">
        <v>2166.6666666666665</v>
      </c>
      <c r="F38" s="281">
        <v>0</v>
      </c>
    </row>
    <row r="39" spans="1:6" ht="81">
      <c r="A39" s="365">
        <v>3</v>
      </c>
      <c r="B39" s="362" t="s">
        <v>222</v>
      </c>
      <c r="C39" s="362"/>
      <c r="D39" s="279">
        <v>292386614.90759254</v>
      </c>
      <c r="E39" s="282" t="s">
        <v>43</v>
      </c>
      <c r="F39" s="281" t="s">
        <v>43</v>
      </c>
    </row>
    <row r="40" spans="1:6" ht="20.25">
      <c r="A40" s="365"/>
      <c r="B40" s="366" t="s">
        <v>327</v>
      </c>
      <c r="C40" s="362"/>
      <c r="D40" s="282" t="s">
        <v>43</v>
      </c>
      <c r="E40" s="282" t="s">
        <v>43</v>
      </c>
      <c r="F40" s="281" t="s">
        <v>43</v>
      </c>
    </row>
    <row r="41" spans="1:6" ht="40.5">
      <c r="A41" s="361"/>
      <c r="B41" s="364" t="s">
        <v>190</v>
      </c>
      <c r="C41" s="367"/>
      <c r="D41" s="282" t="s">
        <v>43</v>
      </c>
      <c r="E41" s="282" t="s">
        <v>43</v>
      </c>
      <c r="F41" s="281" t="s">
        <v>43</v>
      </c>
    </row>
    <row r="42" spans="1:6" ht="39" customHeight="1">
      <c r="A42" s="361"/>
      <c r="B42" s="366" t="s">
        <v>330</v>
      </c>
      <c r="C42" s="367">
        <v>0.4</v>
      </c>
      <c r="D42" s="282" t="s">
        <v>43</v>
      </c>
      <c r="E42" s="282" t="s">
        <v>43</v>
      </c>
      <c r="F42" s="281" t="s">
        <v>43</v>
      </c>
    </row>
    <row r="43" spans="1:6" ht="40.5" customHeight="1">
      <c r="A43" s="361"/>
      <c r="B43" s="366" t="s">
        <v>330</v>
      </c>
      <c r="C43" s="368" t="s">
        <v>15</v>
      </c>
      <c r="D43" s="282" t="s">
        <v>43</v>
      </c>
      <c r="E43" s="282" t="s">
        <v>43</v>
      </c>
      <c r="F43" s="281" t="s">
        <v>43</v>
      </c>
    </row>
    <row r="44" spans="1:6" ht="33.75" customHeight="1">
      <c r="A44" s="361"/>
      <c r="B44" s="366" t="s">
        <v>49</v>
      </c>
      <c r="C44" s="367">
        <v>0.4</v>
      </c>
      <c r="D44" s="282" t="s">
        <v>43</v>
      </c>
      <c r="E44" s="282" t="s">
        <v>43</v>
      </c>
      <c r="F44" s="281" t="s">
        <v>43</v>
      </c>
    </row>
    <row r="45" spans="1:6" ht="33" customHeight="1">
      <c r="A45" s="361"/>
      <c r="B45" s="366" t="s">
        <v>50</v>
      </c>
      <c r="C45" s="368" t="s">
        <v>15</v>
      </c>
      <c r="D45" s="282" t="s">
        <v>43</v>
      </c>
      <c r="E45" s="282" t="s">
        <v>43</v>
      </c>
      <c r="F45" s="281" t="s">
        <v>43</v>
      </c>
    </row>
    <row r="46" spans="1:6" ht="30.75" customHeight="1">
      <c r="A46" s="369"/>
      <c r="B46" s="364" t="s">
        <v>46</v>
      </c>
      <c r="C46" s="368" t="s">
        <v>15</v>
      </c>
      <c r="D46" s="282" t="s">
        <v>43</v>
      </c>
      <c r="E46" s="282" t="s">
        <v>43</v>
      </c>
      <c r="F46" s="281" t="s">
        <v>43</v>
      </c>
    </row>
    <row r="47" spans="1:6" ht="30.75" customHeight="1">
      <c r="A47" s="369"/>
      <c r="B47" s="366" t="s">
        <v>50</v>
      </c>
      <c r="C47" s="368" t="s">
        <v>77</v>
      </c>
      <c r="D47" s="282" t="s">
        <v>43</v>
      </c>
      <c r="E47" s="282" t="s">
        <v>43</v>
      </c>
      <c r="F47" s="281" t="s">
        <v>43</v>
      </c>
    </row>
    <row r="48" spans="1:6" ht="30.75" customHeight="1">
      <c r="A48" s="369"/>
      <c r="B48" s="364" t="s">
        <v>46</v>
      </c>
      <c r="C48" s="368" t="s">
        <v>77</v>
      </c>
      <c r="D48" s="282" t="s">
        <v>43</v>
      </c>
      <c r="E48" s="282" t="s">
        <v>43</v>
      </c>
      <c r="F48" s="281" t="s">
        <v>43</v>
      </c>
    </row>
    <row r="49" spans="1:6" ht="30.75" customHeight="1">
      <c r="A49" s="369"/>
      <c r="B49" s="366" t="s">
        <v>50</v>
      </c>
      <c r="C49" s="368" t="s">
        <v>78</v>
      </c>
      <c r="D49" s="282" t="s">
        <v>43</v>
      </c>
      <c r="E49" s="282" t="s">
        <v>43</v>
      </c>
      <c r="F49" s="281" t="s">
        <v>43</v>
      </c>
    </row>
    <row r="50" spans="1:6" ht="30.75" customHeight="1">
      <c r="A50" s="369"/>
      <c r="B50" s="364" t="s">
        <v>46</v>
      </c>
      <c r="C50" s="368" t="s">
        <v>78</v>
      </c>
      <c r="D50" s="282" t="s">
        <v>43</v>
      </c>
      <c r="E50" s="282" t="s">
        <v>43</v>
      </c>
      <c r="F50" s="281" t="s">
        <v>43</v>
      </c>
    </row>
    <row r="51" spans="1:6" ht="41.25" customHeight="1">
      <c r="A51" s="365" t="s">
        <v>33</v>
      </c>
      <c r="B51" s="362" t="s">
        <v>177</v>
      </c>
      <c r="C51" s="362" t="s">
        <v>18</v>
      </c>
      <c r="D51" s="279">
        <v>66301505.38395486</v>
      </c>
      <c r="E51" s="279">
        <v>1271</v>
      </c>
      <c r="F51" s="283">
        <v>52164.83507785591</v>
      </c>
    </row>
    <row r="52" spans="1:6" ht="41.25" customHeight="1">
      <c r="A52" s="365"/>
      <c r="B52" s="366" t="s">
        <v>327</v>
      </c>
      <c r="C52" s="372"/>
      <c r="D52" s="290">
        <v>56968395.0370194</v>
      </c>
      <c r="E52" s="291">
        <v>3904.02</v>
      </c>
      <c r="F52" s="292">
        <v>14592.239547189667</v>
      </c>
    </row>
    <row r="53" spans="1:6" ht="40.5">
      <c r="A53" s="361"/>
      <c r="B53" s="373" t="s">
        <v>219</v>
      </c>
      <c r="C53" s="374"/>
      <c r="D53" s="284"/>
      <c r="E53" s="285"/>
      <c r="F53" s="286"/>
    </row>
    <row r="54" spans="1:6" ht="20.25" hidden="1">
      <c r="A54" s="361"/>
      <c r="B54" s="375" t="s">
        <v>79</v>
      </c>
      <c r="C54" s="376"/>
      <c r="D54" s="287"/>
      <c r="E54" s="288"/>
      <c r="F54" s="289"/>
    </row>
    <row r="55" spans="1:6" ht="20.25">
      <c r="A55" s="361"/>
      <c r="B55" s="377" t="s">
        <v>80</v>
      </c>
      <c r="C55" s="378"/>
      <c r="D55" s="290">
        <v>204277.18945039995</v>
      </c>
      <c r="E55" s="291">
        <v>8</v>
      </c>
      <c r="F55" s="292">
        <v>25534.648681299994</v>
      </c>
    </row>
    <row r="56" spans="1:6" ht="40.5">
      <c r="A56" s="361"/>
      <c r="B56" s="366" t="s">
        <v>330</v>
      </c>
      <c r="C56" s="374">
        <v>0.4</v>
      </c>
      <c r="D56" s="284"/>
      <c r="E56" s="285"/>
      <c r="F56" s="286"/>
    </row>
    <row r="57" spans="1:6" ht="20.25" hidden="1">
      <c r="A57" s="361"/>
      <c r="B57" s="375" t="s">
        <v>79</v>
      </c>
      <c r="C57" s="376">
        <v>0.4</v>
      </c>
      <c r="D57" s="287"/>
      <c r="E57" s="288"/>
      <c r="F57" s="289"/>
    </row>
    <row r="58" spans="1:6" ht="20.25">
      <c r="A58" s="361"/>
      <c r="B58" s="377" t="s">
        <v>80</v>
      </c>
      <c r="C58" s="378">
        <v>0.4</v>
      </c>
      <c r="D58" s="290">
        <v>1888420.1039058666</v>
      </c>
      <c r="E58" s="291">
        <v>303.6666666666667</v>
      </c>
      <c r="F58" s="292">
        <v>6218.727016155433</v>
      </c>
    </row>
    <row r="59" spans="1:6" ht="40.5">
      <c r="A59" s="361"/>
      <c r="B59" s="366" t="s">
        <v>330</v>
      </c>
      <c r="C59" s="379" t="s">
        <v>15</v>
      </c>
      <c r="D59" s="284"/>
      <c r="E59" s="285"/>
      <c r="F59" s="286"/>
    </row>
    <row r="60" spans="1:6" ht="20.25" hidden="1">
      <c r="A60" s="361"/>
      <c r="B60" s="375" t="s">
        <v>79</v>
      </c>
      <c r="C60" s="380" t="s">
        <v>15</v>
      </c>
      <c r="D60" s="287"/>
      <c r="E60" s="288"/>
      <c r="F60" s="289"/>
    </row>
    <row r="61" spans="1:6" ht="20.25">
      <c r="A61" s="361"/>
      <c r="B61" s="377" t="s">
        <v>80</v>
      </c>
      <c r="C61" s="381" t="s">
        <v>15</v>
      </c>
      <c r="D61" s="287">
        <v>2701928.758056</v>
      </c>
      <c r="E61" s="288">
        <v>250</v>
      </c>
      <c r="F61" s="292">
        <v>10807.715032224</v>
      </c>
    </row>
    <row r="62" spans="1:6" ht="20.25">
      <c r="A62" s="361"/>
      <c r="B62" s="382" t="s">
        <v>49</v>
      </c>
      <c r="C62" s="374">
        <v>0.4</v>
      </c>
      <c r="D62" s="284"/>
      <c r="E62" s="285"/>
      <c r="F62" s="286"/>
    </row>
    <row r="63" spans="1:6" ht="20.25" hidden="1">
      <c r="A63" s="361"/>
      <c r="B63" s="375" t="s">
        <v>79</v>
      </c>
      <c r="C63" s="376">
        <v>0.4</v>
      </c>
      <c r="D63" s="287"/>
      <c r="E63" s="288"/>
      <c r="F63" s="289"/>
    </row>
    <row r="64" spans="1:6" ht="20.25">
      <c r="A64" s="361"/>
      <c r="B64" s="377" t="s">
        <v>80</v>
      </c>
      <c r="C64" s="378">
        <v>0.4</v>
      </c>
      <c r="D64" s="290">
        <v>2530838.9617631994</v>
      </c>
      <c r="E64" s="291">
        <v>500</v>
      </c>
      <c r="F64" s="292">
        <v>5061.677923526398</v>
      </c>
    </row>
    <row r="65" spans="1:6" ht="20.25">
      <c r="A65" s="361"/>
      <c r="B65" s="382" t="s">
        <v>50</v>
      </c>
      <c r="C65" s="379" t="s">
        <v>15</v>
      </c>
      <c r="D65" s="284"/>
      <c r="E65" s="285"/>
      <c r="F65" s="286"/>
    </row>
    <row r="66" spans="1:6" ht="20.25" hidden="1">
      <c r="A66" s="361"/>
      <c r="B66" s="375" t="s">
        <v>79</v>
      </c>
      <c r="C66" s="380" t="s">
        <v>15</v>
      </c>
      <c r="D66" s="287"/>
      <c r="E66" s="288"/>
      <c r="F66" s="289"/>
    </row>
    <row r="67" spans="1:6" ht="20.25">
      <c r="A67" s="361"/>
      <c r="B67" s="377" t="s">
        <v>80</v>
      </c>
      <c r="C67" s="381" t="s">
        <v>15</v>
      </c>
      <c r="D67" s="290">
        <v>2007645.33376</v>
      </c>
      <c r="E67" s="291">
        <v>521</v>
      </c>
      <c r="F67" s="292">
        <v>3853.445938119002</v>
      </c>
    </row>
    <row r="68" spans="1:6" ht="20.25">
      <c r="A68" s="369"/>
      <c r="B68" s="373" t="s">
        <v>46</v>
      </c>
      <c r="C68" s="379" t="s">
        <v>15</v>
      </c>
      <c r="D68" s="284"/>
      <c r="E68" s="285"/>
      <c r="F68" s="286"/>
    </row>
    <row r="69" spans="1:6" ht="20.25" hidden="1">
      <c r="A69" s="369"/>
      <c r="B69" s="375" t="s">
        <v>79</v>
      </c>
      <c r="C69" s="380" t="s">
        <v>15</v>
      </c>
      <c r="D69" s="287"/>
      <c r="E69" s="288"/>
      <c r="F69" s="289"/>
    </row>
    <row r="70" spans="1:6" ht="20.25">
      <c r="A70" s="369"/>
      <c r="B70" s="377" t="s">
        <v>80</v>
      </c>
      <c r="C70" s="381" t="s">
        <v>15</v>
      </c>
      <c r="D70" s="290">
        <v>0</v>
      </c>
      <c r="E70" s="291">
        <v>0</v>
      </c>
      <c r="F70" s="292" t="e">
        <v>#DIV/0!</v>
      </c>
    </row>
    <row r="71" spans="1:6" ht="20.25">
      <c r="A71" s="369"/>
      <c r="B71" s="382" t="s">
        <v>50</v>
      </c>
      <c r="C71" s="379" t="s">
        <v>77</v>
      </c>
      <c r="D71" s="284"/>
      <c r="E71" s="285"/>
      <c r="F71" s="286"/>
    </row>
    <row r="72" spans="1:6" ht="20.25" hidden="1">
      <c r="A72" s="369"/>
      <c r="B72" s="375" t="s">
        <v>79</v>
      </c>
      <c r="C72" s="380" t="s">
        <v>77</v>
      </c>
      <c r="D72" s="287"/>
      <c r="E72" s="288"/>
      <c r="F72" s="289"/>
    </row>
    <row r="73" spans="1:6" ht="20.25">
      <c r="A73" s="369"/>
      <c r="B73" s="377" t="s">
        <v>80</v>
      </c>
      <c r="C73" s="381" t="s">
        <v>77</v>
      </c>
      <c r="D73" s="290"/>
      <c r="E73" s="291"/>
      <c r="F73" s="292"/>
    </row>
    <row r="74" spans="1:6" ht="20.25">
      <c r="A74" s="369"/>
      <c r="B74" s="373" t="s">
        <v>46</v>
      </c>
      <c r="C74" s="379" t="s">
        <v>77</v>
      </c>
      <c r="D74" s="284"/>
      <c r="E74" s="285"/>
      <c r="F74" s="286"/>
    </row>
    <row r="75" spans="1:6" ht="20.25" hidden="1">
      <c r="A75" s="369"/>
      <c r="B75" s="375" t="s">
        <v>79</v>
      </c>
      <c r="C75" s="380" t="s">
        <v>77</v>
      </c>
      <c r="D75" s="287"/>
      <c r="E75" s="288"/>
      <c r="F75" s="289"/>
    </row>
    <row r="76" spans="1:6" ht="20.25">
      <c r="A76" s="369"/>
      <c r="B76" s="377" t="s">
        <v>80</v>
      </c>
      <c r="C76" s="381" t="s">
        <v>77</v>
      </c>
      <c r="D76" s="290"/>
      <c r="E76" s="291"/>
      <c r="F76" s="292"/>
    </row>
    <row r="77" spans="1:6" ht="20.25">
      <c r="A77" s="369"/>
      <c r="B77" s="382" t="s">
        <v>50</v>
      </c>
      <c r="C77" s="379" t="s">
        <v>78</v>
      </c>
      <c r="D77" s="284"/>
      <c r="E77" s="285"/>
      <c r="F77" s="286"/>
    </row>
    <row r="78" spans="1:6" ht="20.25" hidden="1">
      <c r="A78" s="369"/>
      <c r="B78" s="375" t="s">
        <v>79</v>
      </c>
      <c r="C78" s="380" t="s">
        <v>78</v>
      </c>
      <c r="D78" s="287"/>
      <c r="E78" s="288"/>
      <c r="F78" s="289"/>
    </row>
    <row r="79" spans="1:6" ht="20.25">
      <c r="A79" s="369"/>
      <c r="B79" s="377" t="s">
        <v>80</v>
      </c>
      <c r="C79" s="381" t="s">
        <v>78</v>
      </c>
      <c r="D79" s="290"/>
      <c r="E79" s="291"/>
      <c r="F79" s="292"/>
    </row>
    <row r="80" spans="1:6" ht="20.25">
      <c r="A80" s="369"/>
      <c r="B80" s="373" t="s">
        <v>46</v>
      </c>
      <c r="C80" s="379" t="s">
        <v>78</v>
      </c>
      <c r="D80" s="284"/>
      <c r="E80" s="285"/>
      <c r="F80" s="286"/>
    </row>
    <row r="81" spans="1:6" ht="20.25" hidden="1">
      <c r="A81" s="369"/>
      <c r="B81" s="375" t="s">
        <v>79</v>
      </c>
      <c r="C81" s="380" t="s">
        <v>78</v>
      </c>
      <c r="D81" s="287"/>
      <c r="E81" s="288"/>
      <c r="F81" s="289"/>
    </row>
    <row r="82" spans="1:6" ht="20.25">
      <c r="A82" s="369"/>
      <c r="B82" s="377" t="s">
        <v>80</v>
      </c>
      <c r="C82" s="381" t="s">
        <v>78</v>
      </c>
      <c r="D82" s="290"/>
      <c r="E82" s="291"/>
      <c r="F82" s="292"/>
    </row>
    <row r="83" spans="1:6" ht="40.5" customHeight="1">
      <c r="A83" s="365" t="s">
        <v>34</v>
      </c>
      <c r="B83" s="362" t="s">
        <v>147</v>
      </c>
      <c r="C83" s="362" t="s">
        <v>18</v>
      </c>
      <c r="D83" s="279">
        <v>89451912.89709681</v>
      </c>
      <c r="E83" s="279">
        <v>3894.4166666666665</v>
      </c>
      <c r="F83" s="283">
        <v>22969.271280790057</v>
      </c>
    </row>
    <row r="84" spans="1:6" ht="40.5" customHeight="1">
      <c r="A84" s="365"/>
      <c r="B84" s="366" t="s">
        <v>327</v>
      </c>
      <c r="C84" s="372"/>
      <c r="D84" s="290">
        <v>3500427.4873260004</v>
      </c>
      <c r="E84" s="291">
        <v>247.66666666666666</v>
      </c>
      <c r="F84" s="292">
        <v>14133.623771168239</v>
      </c>
    </row>
    <row r="85" spans="1:6" ht="40.5">
      <c r="A85" s="361"/>
      <c r="B85" s="373" t="s">
        <v>219</v>
      </c>
      <c r="C85" s="374"/>
      <c r="D85" s="284"/>
      <c r="E85" s="285"/>
      <c r="F85" s="286"/>
    </row>
    <row r="86" spans="1:6" ht="20.25" hidden="1">
      <c r="A86" s="361"/>
      <c r="B86" s="375" t="s">
        <v>81</v>
      </c>
      <c r="C86" s="376"/>
      <c r="D86" s="287"/>
      <c r="E86" s="288"/>
      <c r="F86" s="289"/>
    </row>
    <row r="87" spans="1:6" ht="20.25">
      <c r="A87" s="361"/>
      <c r="B87" s="377" t="s">
        <v>82</v>
      </c>
      <c r="C87" s="378"/>
      <c r="D87" s="290"/>
      <c r="E87" s="291"/>
      <c r="F87" s="292"/>
    </row>
    <row r="88" spans="1:6" ht="40.5">
      <c r="A88" s="361"/>
      <c r="B88" s="366" t="s">
        <v>330</v>
      </c>
      <c r="C88" s="374">
        <v>0.4</v>
      </c>
      <c r="D88" s="284"/>
      <c r="E88" s="285"/>
      <c r="F88" s="286"/>
    </row>
    <row r="89" spans="1:6" ht="20.25" hidden="1">
      <c r="A89" s="361"/>
      <c r="B89" s="375" t="s">
        <v>81</v>
      </c>
      <c r="C89" s="376">
        <v>0.4</v>
      </c>
      <c r="D89" s="287"/>
      <c r="E89" s="288"/>
      <c r="F89" s="289"/>
    </row>
    <row r="90" spans="1:6" ht="20.25">
      <c r="A90" s="361"/>
      <c r="B90" s="377" t="s">
        <v>82</v>
      </c>
      <c r="C90" s="378">
        <v>0.4</v>
      </c>
      <c r="D90" s="290">
        <v>335130.873056</v>
      </c>
      <c r="E90" s="291">
        <v>20</v>
      </c>
      <c r="F90" s="292">
        <v>16756.5436528</v>
      </c>
    </row>
    <row r="91" spans="1:6" ht="40.5">
      <c r="A91" s="361"/>
      <c r="B91" s="366" t="s">
        <v>330</v>
      </c>
      <c r="C91" s="379" t="s">
        <v>15</v>
      </c>
      <c r="D91" s="284"/>
      <c r="E91" s="285"/>
      <c r="F91" s="286"/>
    </row>
    <row r="92" spans="1:6" ht="20.25" hidden="1">
      <c r="A92" s="361"/>
      <c r="B92" s="375" t="s">
        <v>81</v>
      </c>
      <c r="C92" s="380" t="s">
        <v>15</v>
      </c>
      <c r="D92" s="287"/>
      <c r="E92" s="288"/>
      <c r="F92" s="289"/>
    </row>
    <row r="93" spans="1:6" ht="20.25">
      <c r="A93" s="361"/>
      <c r="B93" s="377" t="s">
        <v>82</v>
      </c>
      <c r="C93" s="381" t="s">
        <v>15</v>
      </c>
      <c r="D93" s="290">
        <v>1010070.2215712001</v>
      </c>
      <c r="E93" s="291">
        <v>80</v>
      </c>
      <c r="F93" s="292">
        <v>12625.877769640001</v>
      </c>
    </row>
    <row r="94" spans="1:6" ht="20.25">
      <c r="A94" s="361"/>
      <c r="B94" s="382" t="s">
        <v>49</v>
      </c>
      <c r="C94" s="374">
        <v>0.4</v>
      </c>
      <c r="D94" s="284"/>
      <c r="E94" s="285"/>
      <c r="F94" s="286"/>
    </row>
    <row r="95" spans="1:6" ht="20.25" hidden="1">
      <c r="A95" s="361"/>
      <c r="B95" s="375" t="s">
        <v>81</v>
      </c>
      <c r="C95" s="376">
        <v>0.4</v>
      </c>
      <c r="D95" s="287"/>
      <c r="E95" s="288"/>
      <c r="F95" s="289"/>
    </row>
    <row r="96" spans="1:6" ht="20.25">
      <c r="A96" s="361"/>
      <c r="B96" s="377" t="s">
        <v>82</v>
      </c>
      <c r="C96" s="378">
        <v>0.4</v>
      </c>
      <c r="D96" s="290">
        <v>995010.3441959999</v>
      </c>
      <c r="E96" s="291">
        <v>510.75</v>
      </c>
      <c r="F96" s="292">
        <v>1948.1357693509542</v>
      </c>
    </row>
    <row r="97" spans="1:6" ht="20.25">
      <c r="A97" s="361"/>
      <c r="B97" s="382" t="s">
        <v>50</v>
      </c>
      <c r="C97" s="379" t="s">
        <v>15</v>
      </c>
      <c r="D97" s="284"/>
      <c r="E97" s="285"/>
      <c r="F97" s="286"/>
    </row>
    <row r="98" spans="1:6" ht="20.25" hidden="1">
      <c r="A98" s="361"/>
      <c r="B98" s="375" t="s">
        <v>81</v>
      </c>
      <c r="C98" s="380" t="s">
        <v>15</v>
      </c>
      <c r="D98" s="287"/>
      <c r="E98" s="288"/>
      <c r="F98" s="289"/>
    </row>
    <row r="99" spans="1:6" ht="20.25">
      <c r="A99" s="361"/>
      <c r="B99" s="377" t="s">
        <v>82</v>
      </c>
      <c r="C99" s="381" t="s">
        <v>15</v>
      </c>
      <c r="D99" s="290">
        <v>7441123.981710999</v>
      </c>
      <c r="E99" s="291">
        <v>873</v>
      </c>
      <c r="F99" s="281">
        <v>8523.624263128293</v>
      </c>
    </row>
    <row r="100" spans="1:6" ht="20.25">
      <c r="A100" s="369"/>
      <c r="B100" s="373" t="s">
        <v>46</v>
      </c>
      <c r="C100" s="379" t="s">
        <v>15</v>
      </c>
      <c r="D100" s="284"/>
      <c r="E100" s="285"/>
      <c r="F100" s="286"/>
    </row>
    <row r="101" spans="1:6" ht="20.25" hidden="1">
      <c r="A101" s="369"/>
      <c r="B101" s="375" t="s">
        <v>81</v>
      </c>
      <c r="C101" s="380" t="s">
        <v>15</v>
      </c>
      <c r="D101" s="287"/>
      <c r="E101" s="288"/>
      <c r="F101" s="289"/>
    </row>
    <row r="102" spans="1:6" ht="20.25">
      <c r="A102" s="369"/>
      <c r="B102" s="377" t="s">
        <v>82</v>
      </c>
      <c r="C102" s="381" t="s">
        <v>15</v>
      </c>
      <c r="D102" s="290">
        <v>76170149.98923661</v>
      </c>
      <c r="E102" s="291">
        <v>2163</v>
      </c>
      <c r="F102" s="281">
        <v>35215.04853871318</v>
      </c>
    </row>
    <row r="103" spans="1:6" ht="20.25">
      <c r="A103" s="369"/>
      <c r="B103" s="382" t="s">
        <v>50</v>
      </c>
      <c r="C103" s="379" t="s">
        <v>77</v>
      </c>
      <c r="D103" s="284"/>
      <c r="E103" s="285"/>
      <c r="F103" s="286"/>
    </row>
    <row r="104" spans="1:6" ht="20.25" hidden="1">
      <c r="A104" s="369"/>
      <c r="B104" s="375" t="s">
        <v>81</v>
      </c>
      <c r="C104" s="380" t="s">
        <v>77</v>
      </c>
      <c r="D104" s="287"/>
      <c r="E104" s="288"/>
      <c r="F104" s="289"/>
    </row>
    <row r="105" spans="1:6" ht="20.25">
      <c r="A105" s="369"/>
      <c r="B105" s="377" t="s">
        <v>82</v>
      </c>
      <c r="C105" s="381" t="s">
        <v>77</v>
      </c>
      <c r="D105" s="290"/>
      <c r="E105" s="291"/>
      <c r="F105" s="292"/>
    </row>
    <row r="106" spans="1:6" ht="20.25">
      <c r="A106" s="369"/>
      <c r="B106" s="373" t="s">
        <v>46</v>
      </c>
      <c r="C106" s="379" t="s">
        <v>77</v>
      </c>
      <c r="D106" s="284"/>
      <c r="E106" s="285"/>
      <c r="F106" s="286"/>
    </row>
    <row r="107" spans="1:6" ht="20.25" hidden="1">
      <c r="A107" s="369"/>
      <c r="B107" s="375" t="s">
        <v>81</v>
      </c>
      <c r="C107" s="380" t="s">
        <v>77</v>
      </c>
      <c r="D107" s="287"/>
      <c r="E107" s="288"/>
      <c r="F107" s="289"/>
    </row>
    <row r="108" spans="1:6" ht="20.25">
      <c r="A108" s="369"/>
      <c r="B108" s="377" t="s">
        <v>82</v>
      </c>
      <c r="C108" s="381" t="s">
        <v>77</v>
      </c>
      <c r="D108" s="290"/>
      <c r="E108" s="291"/>
      <c r="F108" s="292"/>
    </row>
    <row r="109" spans="1:6" ht="20.25">
      <c r="A109" s="369"/>
      <c r="B109" s="382" t="s">
        <v>50</v>
      </c>
      <c r="C109" s="379" t="s">
        <v>78</v>
      </c>
      <c r="D109" s="284"/>
      <c r="E109" s="285"/>
      <c r="F109" s="286"/>
    </row>
    <row r="110" spans="1:6" ht="20.25" hidden="1">
      <c r="A110" s="369"/>
      <c r="B110" s="375" t="s">
        <v>81</v>
      </c>
      <c r="C110" s="380" t="s">
        <v>78</v>
      </c>
      <c r="D110" s="287"/>
      <c r="E110" s="288"/>
      <c r="F110" s="289"/>
    </row>
    <row r="111" spans="1:6" ht="20.25">
      <c r="A111" s="369"/>
      <c r="B111" s="377" t="s">
        <v>82</v>
      </c>
      <c r="C111" s="381" t="s">
        <v>78</v>
      </c>
      <c r="D111" s="290"/>
      <c r="E111" s="291"/>
      <c r="F111" s="292"/>
    </row>
    <row r="112" spans="1:6" ht="20.25">
      <c r="A112" s="369"/>
      <c r="B112" s="373" t="s">
        <v>46</v>
      </c>
      <c r="C112" s="379" t="s">
        <v>78</v>
      </c>
      <c r="D112" s="284"/>
      <c r="E112" s="285"/>
      <c r="F112" s="286"/>
    </row>
    <row r="113" spans="1:6" ht="20.25" hidden="1">
      <c r="A113" s="369"/>
      <c r="B113" s="375" t="s">
        <v>81</v>
      </c>
      <c r="C113" s="380" t="s">
        <v>78</v>
      </c>
      <c r="D113" s="287"/>
      <c r="E113" s="288"/>
      <c r="F113" s="289"/>
    </row>
    <row r="114" spans="1:6" ht="20.25">
      <c r="A114" s="369"/>
      <c r="B114" s="377" t="s">
        <v>82</v>
      </c>
      <c r="C114" s="381" t="s">
        <v>78</v>
      </c>
      <c r="D114" s="290"/>
      <c r="E114" s="291"/>
      <c r="F114" s="292"/>
    </row>
    <row r="115" spans="1:6" ht="39" customHeight="1">
      <c r="A115" s="365" t="s">
        <v>35</v>
      </c>
      <c r="B115" s="362" t="s">
        <v>148</v>
      </c>
      <c r="C115" s="362" t="s">
        <v>18</v>
      </c>
      <c r="D115" s="279">
        <v>13289841.300489847</v>
      </c>
      <c r="E115" s="279">
        <v>6392.5199999999995</v>
      </c>
      <c r="F115" s="283">
        <v>2078.96749646303</v>
      </c>
    </row>
    <row r="116" spans="1:6" ht="40.5">
      <c r="A116" s="361"/>
      <c r="B116" s="364" t="s">
        <v>219</v>
      </c>
      <c r="C116" s="367"/>
      <c r="D116" s="282"/>
      <c r="E116" s="280"/>
      <c r="F116" s="281"/>
    </row>
    <row r="117" spans="1:6" ht="40.5">
      <c r="A117" s="361"/>
      <c r="B117" s="366" t="s">
        <v>330</v>
      </c>
      <c r="C117" s="367">
        <v>0.4</v>
      </c>
      <c r="D117" s="282"/>
      <c r="E117" s="280"/>
      <c r="F117" s="281"/>
    </row>
    <row r="118" spans="1:6" ht="40.5">
      <c r="A118" s="361"/>
      <c r="B118" s="366" t="s">
        <v>330</v>
      </c>
      <c r="C118" s="368" t="s">
        <v>15</v>
      </c>
      <c r="D118" s="282">
        <v>0</v>
      </c>
      <c r="E118" s="280">
        <v>0</v>
      </c>
      <c r="F118" s="281"/>
    </row>
    <row r="119" spans="1:6" ht="30" customHeight="1">
      <c r="A119" s="361"/>
      <c r="B119" s="366" t="s">
        <v>49</v>
      </c>
      <c r="C119" s="367">
        <v>0.4</v>
      </c>
      <c r="D119" s="282"/>
      <c r="E119" s="280"/>
      <c r="F119" s="281"/>
    </row>
    <row r="120" spans="1:6" ht="33" customHeight="1">
      <c r="A120" s="361"/>
      <c r="B120" s="366" t="s">
        <v>50</v>
      </c>
      <c r="C120" s="368" t="s">
        <v>15</v>
      </c>
      <c r="D120" s="308">
        <v>4141731.9907295937</v>
      </c>
      <c r="E120" s="280">
        <v>439</v>
      </c>
      <c r="F120" s="281">
        <v>9434.469227174473</v>
      </c>
    </row>
    <row r="121" spans="1:6" ht="36.75" customHeight="1">
      <c r="A121" s="369"/>
      <c r="B121" s="364" t="s">
        <v>46</v>
      </c>
      <c r="C121" s="368" t="s">
        <v>15</v>
      </c>
      <c r="D121" s="308">
        <v>9148109.309760252</v>
      </c>
      <c r="E121" s="280">
        <v>5953.5199999999995</v>
      </c>
      <c r="F121" s="281">
        <v>1536.5883224983293</v>
      </c>
    </row>
    <row r="122" spans="1:6" ht="36.75" customHeight="1">
      <c r="A122" s="369"/>
      <c r="B122" s="366" t="s">
        <v>50</v>
      </c>
      <c r="C122" s="368" t="s">
        <v>77</v>
      </c>
      <c r="D122" s="282"/>
      <c r="E122" s="280"/>
      <c r="F122" s="281"/>
    </row>
    <row r="123" spans="1:6" ht="36.75" customHeight="1">
      <c r="A123" s="369"/>
      <c r="B123" s="364" t="s">
        <v>46</v>
      </c>
      <c r="C123" s="368" t="s">
        <v>77</v>
      </c>
      <c r="D123" s="282"/>
      <c r="E123" s="280"/>
      <c r="F123" s="281"/>
    </row>
    <row r="124" spans="1:6" ht="36.75" customHeight="1">
      <c r="A124" s="369"/>
      <c r="B124" s="366" t="s">
        <v>50</v>
      </c>
      <c r="C124" s="368" t="s">
        <v>78</v>
      </c>
      <c r="D124" s="282"/>
      <c r="E124" s="280"/>
      <c r="F124" s="281"/>
    </row>
    <row r="125" spans="1:6" ht="36.75" customHeight="1">
      <c r="A125" s="369"/>
      <c r="B125" s="364" t="s">
        <v>46</v>
      </c>
      <c r="C125" s="368" t="s">
        <v>78</v>
      </c>
      <c r="D125" s="282"/>
      <c r="E125" s="280"/>
      <c r="F125" s="281"/>
    </row>
    <row r="126" spans="1:6" ht="101.25">
      <c r="A126" s="365" t="s">
        <v>36</v>
      </c>
      <c r="B126" s="362" t="s">
        <v>223</v>
      </c>
      <c r="C126" s="362" t="s">
        <v>18</v>
      </c>
      <c r="D126" s="279">
        <v>123343355.32605104</v>
      </c>
      <c r="E126" s="279">
        <v>6039.433333333333</v>
      </c>
      <c r="F126" s="283">
        <v>20423.001384133895</v>
      </c>
    </row>
    <row r="127" spans="1:6" ht="20.25">
      <c r="A127" s="365"/>
      <c r="B127" s="366" t="s">
        <v>327</v>
      </c>
      <c r="C127" s="362"/>
      <c r="D127" s="282">
        <v>71277650.44986282</v>
      </c>
      <c r="E127" s="280">
        <v>1472.5</v>
      </c>
      <c r="F127" s="281">
        <v>48405.874668837234</v>
      </c>
    </row>
    <row r="128" spans="1:6" ht="40.5">
      <c r="A128" s="361"/>
      <c r="B128" s="364" t="s">
        <v>219</v>
      </c>
      <c r="C128" s="367"/>
      <c r="D128" s="282">
        <v>1100751.6003909141</v>
      </c>
      <c r="E128" s="280">
        <v>15</v>
      </c>
      <c r="F128" s="281">
        <v>73383.44002606094</v>
      </c>
    </row>
    <row r="129" spans="1:6" ht="43.5" customHeight="1">
      <c r="A129" s="361"/>
      <c r="B129" s="366" t="s">
        <v>330</v>
      </c>
      <c r="C129" s="367">
        <v>0.4</v>
      </c>
      <c r="D129" s="282"/>
      <c r="E129" s="280">
        <v>0</v>
      </c>
      <c r="F129" s="281"/>
    </row>
    <row r="130" spans="1:6" ht="47.25" customHeight="1">
      <c r="A130" s="361"/>
      <c r="B130" s="366" t="s">
        <v>330</v>
      </c>
      <c r="C130" s="368" t="s">
        <v>15</v>
      </c>
      <c r="D130" s="282">
        <v>7597297.886435741</v>
      </c>
      <c r="E130" s="280">
        <v>573.3333333333334</v>
      </c>
      <c r="F130" s="281">
        <v>13251.1009647135</v>
      </c>
    </row>
    <row r="131" spans="1:6" ht="30" customHeight="1">
      <c r="A131" s="361"/>
      <c r="B131" s="366" t="s">
        <v>49</v>
      </c>
      <c r="C131" s="367">
        <v>0.4</v>
      </c>
      <c r="D131" s="282">
        <v>0</v>
      </c>
      <c r="E131" s="280">
        <v>0</v>
      </c>
      <c r="F131" s="281"/>
    </row>
    <row r="132" spans="1:6" ht="27.75" customHeight="1">
      <c r="A132" s="361"/>
      <c r="B132" s="366" t="s">
        <v>50</v>
      </c>
      <c r="C132" s="368" t="s">
        <v>15</v>
      </c>
      <c r="D132" s="282">
        <v>23057672.275928177</v>
      </c>
      <c r="E132" s="280">
        <v>1703.6000000000001</v>
      </c>
      <c r="F132" s="281">
        <v>13534.674968260259</v>
      </c>
    </row>
    <row r="133" spans="1:6" ht="33" customHeight="1">
      <c r="A133" s="369"/>
      <c r="B133" s="364" t="s">
        <v>46</v>
      </c>
      <c r="C133" s="368" t="s">
        <v>15</v>
      </c>
      <c r="D133" s="282">
        <v>20309983.11343338</v>
      </c>
      <c r="E133" s="280">
        <v>2275</v>
      </c>
      <c r="F133" s="281">
        <v>8927.46510480588</v>
      </c>
    </row>
    <row r="134" spans="1:6" ht="33" customHeight="1">
      <c r="A134" s="369"/>
      <c r="B134" s="366" t="s">
        <v>50</v>
      </c>
      <c r="C134" s="368" t="s">
        <v>77</v>
      </c>
      <c r="D134" s="282"/>
      <c r="E134" s="280"/>
      <c r="F134" s="281"/>
    </row>
    <row r="135" spans="1:6" ht="33" customHeight="1">
      <c r="A135" s="369"/>
      <c r="B135" s="364" t="s">
        <v>46</v>
      </c>
      <c r="C135" s="368" t="s">
        <v>77</v>
      </c>
      <c r="D135" s="282">
        <v>0</v>
      </c>
      <c r="E135" s="280">
        <v>0</v>
      </c>
      <c r="F135" s="281"/>
    </row>
    <row r="136" spans="1:6" ht="33" customHeight="1">
      <c r="A136" s="369"/>
      <c r="B136" s="366" t="s">
        <v>50</v>
      </c>
      <c r="C136" s="368" t="s">
        <v>78</v>
      </c>
      <c r="D136" s="282"/>
      <c r="E136" s="280"/>
      <c r="F136" s="281"/>
    </row>
    <row r="137" spans="1:6" ht="33" customHeight="1">
      <c r="A137" s="369"/>
      <c r="B137" s="364" t="s">
        <v>46</v>
      </c>
      <c r="C137" s="368" t="s">
        <v>78</v>
      </c>
      <c r="D137" s="282"/>
      <c r="E137" s="280"/>
      <c r="F137" s="281"/>
    </row>
    <row r="138" spans="1:6" ht="60.75">
      <c r="A138" s="365" t="s">
        <v>16</v>
      </c>
      <c r="B138" s="362" t="s">
        <v>224</v>
      </c>
      <c r="C138" s="362" t="s">
        <v>18</v>
      </c>
      <c r="D138" s="282">
        <v>0</v>
      </c>
      <c r="E138" s="282">
        <v>0</v>
      </c>
      <c r="F138" s="281"/>
    </row>
    <row r="139" spans="1:6" ht="40.5">
      <c r="A139" s="361"/>
      <c r="B139" s="364" t="s">
        <v>225</v>
      </c>
      <c r="C139" s="367"/>
      <c r="D139" s="282"/>
      <c r="E139" s="280"/>
      <c r="F139" s="281"/>
    </row>
    <row r="140" spans="1:6" ht="44.25" customHeight="1">
      <c r="A140" s="361"/>
      <c r="B140" s="366" t="s">
        <v>330</v>
      </c>
      <c r="C140" s="367">
        <v>0.4</v>
      </c>
      <c r="D140" s="282"/>
      <c r="E140" s="280"/>
      <c r="F140" s="281"/>
    </row>
    <row r="141" spans="1:6" ht="41.25" customHeight="1">
      <c r="A141" s="361"/>
      <c r="B141" s="366" t="s">
        <v>330</v>
      </c>
      <c r="C141" s="368" t="s">
        <v>15</v>
      </c>
      <c r="D141" s="282"/>
      <c r="E141" s="280"/>
      <c r="F141" s="281"/>
    </row>
    <row r="142" spans="1:6" ht="39" customHeight="1">
      <c r="A142" s="361"/>
      <c r="B142" s="366" t="s">
        <v>49</v>
      </c>
      <c r="C142" s="367">
        <v>0.4</v>
      </c>
      <c r="D142" s="282"/>
      <c r="E142" s="280"/>
      <c r="F142" s="281"/>
    </row>
    <row r="143" spans="1:6" ht="36" customHeight="1">
      <c r="A143" s="361"/>
      <c r="B143" s="366" t="s">
        <v>50</v>
      </c>
      <c r="C143" s="368" t="s">
        <v>15</v>
      </c>
      <c r="D143" s="282"/>
      <c r="E143" s="280"/>
      <c r="F143" s="281"/>
    </row>
    <row r="144" spans="1:6" ht="36" customHeight="1">
      <c r="A144" s="369"/>
      <c r="B144" s="364" t="s">
        <v>46</v>
      </c>
      <c r="C144" s="368" t="s">
        <v>15</v>
      </c>
      <c r="D144" s="282"/>
      <c r="E144" s="280"/>
      <c r="F144" s="281"/>
    </row>
    <row r="145" spans="1:6" ht="36" customHeight="1">
      <c r="A145" s="369"/>
      <c r="B145" s="366" t="s">
        <v>50</v>
      </c>
      <c r="C145" s="368" t="s">
        <v>77</v>
      </c>
      <c r="D145" s="282"/>
      <c r="E145" s="280"/>
      <c r="F145" s="281"/>
    </row>
    <row r="146" spans="1:6" ht="36" customHeight="1">
      <c r="A146" s="369"/>
      <c r="B146" s="364" t="s">
        <v>46</v>
      </c>
      <c r="C146" s="368" t="s">
        <v>77</v>
      </c>
      <c r="D146" s="282"/>
      <c r="E146" s="280"/>
      <c r="F146" s="281"/>
    </row>
    <row r="147" spans="1:6" ht="36" customHeight="1">
      <c r="A147" s="369"/>
      <c r="B147" s="366" t="s">
        <v>50</v>
      </c>
      <c r="C147" s="368" t="s">
        <v>78</v>
      </c>
      <c r="D147" s="282"/>
      <c r="E147" s="280"/>
      <c r="F147" s="281"/>
    </row>
    <row r="148" spans="1:6" ht="36" customHeight="1">
      <c r="A148" s="369"/>
      <c r="B148" s="364" t="s">
        <v>46</v>
      </c>
      <c r="C148" s="368" t="s">
        <v>78</v>
      </c>
      <c r="D148" s="282"/>
      <c r="E148" s="280"/>
      <c r="F148" s="281"/>
    </row>
    <row r="149" spans="1:6" ht="56.25" customHeight="1">
      <c r="A149" s="365">
        <v>4</v>
      </c>
      <c r="B149" s="362" t="s">
        <v>226</v>
      </c>
      <c r="C149" s="362"/>
      <c r="D149" s="279">
        <v>23104921.253589492</v>
      </c>
      <c r="E149" s="279">
        <v>77944.29666666668</v>
      </c>
      <c r="F149" s="283">
        <v>296.4286322628458</v>
      </c>
    </row>
    <row r="150" spans="1:6" ht="28.5" customHeight="1">
      <c r="A150" s="365" t="s">
        <v>227</v>
      </c>
      <c r="B150" s="362" t="s">
        <v>106</v>
      </c>
      <c r="C150" s="362"/>
      <c r="D150" s="279"/>
      <c r="E150" s="293"/>
      <c r="F150" s="283"/>
    </row>
    <row r="151" spans="1:6" ht="28.5" customHeight="1">
      <c r="A151" s="365"/>
      <c r="B151" s="366" t="s">
        <v>327</v>
      </c>
      <c r="C151" s="362"/>
      <c r="D151" s="282">
        <v>19002797.641818013</v>
      </c>
      <c r="E151" s="280">
        <v>34927.99</v>
      </c>
      <c r="F151" s="281">
        <v>544.0564327296822</v>
      </c>
    </row>
    <row r="152" spans="1:6" ht="48.75" customHeight="1">
      <c r="A152" s="369"/>
      <c r="B152" s="364" t="s">
        <v>219</v>
      </c>
      <c r="C152" s="364"/>
      <c r="D152" s="282">
        <v>2472808.821562141</v>
      </c>
      <c r="E152" s="280">
        <v>2998.103333333333</v>
      </c>
      <c r="F152" s="281">
        <v>824.7910584232059</v>
      </c>
    </row>
    <row r="153" spans="1:6" ht="40.5" customHeight="1">
      <c r="A153" s="369"/>
      <c r="B153" s="366" t="s">
        <v>330</v>
      </c>
      <c r="C153" s="367">
        <v>0.4</v>
      </c>
      <c r="D153" s="282">
        <v>430000.7002526888</v>
      </c>
      <c r="E153" s="280">
        <v>4314.93</v>
      </c>
      <c r="F153" s="281">
        <v>99.65415435538671</v>
      </c>
    </row>
    <row r="154" spans="1:6" ht="39.75" customHeight="1">
      <c r="A154" s="369"/>
      <c r="B154" s="366" t="s">
        <v>330</v>
      </c>
      <c r="C154" s="368" t="s">
        <v>15</v>
      </c>
      <c r="D154" s="282">
        <v>440929.7257186151</v>
      </c>
      <c r="E154" s="280">
        <v>6146.483333333334</v>
      </c>
      <c r="F154" s="281">
        <v>71.73691065383431</v>
      </c>
    </row>
    <row r="155" spans="1:6" ht="36.75" customHeight="1">
      <c r="A155" s="369"/>
      <c r="B155" s="366" t="s">
        <v>49</v>
      </c>
      <c r="C155" s="367">
        <v>0.4</v>
      </c>
      <c r="D155" s="282">
        <v>56233.59009269414</v>
      </c>
      <c r="E155" s="280">
        <v>1902.6000000000001</v>
      </c>
      <c r="F155" s="281">
        <v>29.556181064172257</v>
      </c>
    </row>
    <row r="156" spans="1:6" ht="36" customHeight="1">
      <c r="A156" s="369"/>
      <c r="B156" s="366" t="s">
        <v>50</v>
      </c>
      <c r="C156" s="368" t="s">
        <v>15</v>
      </c>
      <c r="D156" s="282">
        <v>404426.5282427764</v>
      </c>
      <c r="E156" s="280">
        <v>10198.423333333334</v>
      </c>
      <c r="F156" s="281">
        <v>39.655789431775865</v>
      </c>
    </row>
    <row r="157" spans="1:6" ht="37.5" customHeight="1">
      <c r="A157" s="369"/>
      <c r="B157" s="364" t="s">
        <v>46</v>
      </c>
      <c r="C157" s="368" t="s">
        <v>15</v>
      </c>
      <c r="D157" s="282">
        <v>148862.12295128586</v>
      </c>
      <c r="E157" s="280">
        <v>11846.433333333334</v>
      </c>
      <c r="F157" s="281">
        <v>12.565986636029903</v>
      </c>
    </row>
    <row r="158" spans="1:6" ht="37.5" customHeight="1">
      <c r="A158" s="369"/>
      <c r="B158" s="366" t="s">
        <v>50</v>
      </c>
      <c r="C158" s="368" t="s">
        <v>77</v>
      </c>
      <c r="D158" s="282">
        <v>85064.07025787764</v>
      </c>
      <c r="E158" s="280">
        <v>1972.6666666666667</v>
      </c>
      <c r="F158" s="281">
        <v>43.12136038756893</v>
      </c>
    </row>
    <row r="159" spans="1:6" ht="37.5" customHeight="1">
      <c r="A159" s="369"/>
      <c r="B159" s="364" t="s">
        <v>46</v>
      </c>
      <c r="C159" s="368" t="s">
        <v>77</v>
      </c>
      <c r="D159" s="282">
        <v>21266.01756446941</v>
      </c>
      <c r="E159" s="280">
        <v>800</v>
      </c>
      <c r="F159" s="281">
        <v>26.582521955586763</v>
      </c>
    </row>
    <row r="160" spans="1:6" ht="37.5" customHeight="1">
      <c r="A160" s="369"/>
      <c r="B160" s="366" t="s">
        <v>50</v>
      </c>
      <c r="C160" s="368" t="s">
        <v>78</v>
      </c>
      <c r="D160" s="282">
        <v>21266.01756446941</v>
      </c>
      <c r="E160" s="280">
        <v>670</v>
      </c>
      <c r="F160" s="281">
        <v>31.740324723088673</v>
      </c>
    </row>
    <row r="161" spans="1:6" ht="37.5" customHeight="1">
      <c r="A161" s="369"/>
      <c r="B161" s="364" t="s">
        <v>46</v>
      </c>
      <c r="C161" s="368" t="s">
        <v>78</v>
      </c>
      <c r="D161" s="282">
        <v>21266.01756446941</v>
      </c>
      <c r="E161" s="280">
        <v>2166.6666666666665</v>
      </c>
      <c r="F161" s="281">
        <v>9.815085029755114</v>
      </c>
    </row>
    <row r="162" spans="1:6" ht="33" customHeight="1">
      <c r="A162" s="370" t="s">
        <v>228</v>
      </c>
      <c r="B162" s="371" t="s">
        <v>220</v>
      </c>
      <c r="C162" s="368"/>
      <c r="D162" s="282"/>
      <c r="E162" s="280"/>
      <c r="F162" s="281"/>
    </row>
    <row r="163" spans="1:6" ht="78.75" customHeight="1">
      <c r="A163" s="365">
        <v>5</v>
      </c>
      <c r="B163" s="362" t="s">
        <v>229</v>
      </c>
      <c r="C163" s="362"/>
      <c r="D163" s="279">
        <v>189908.62446524246</v>
      </c>
      <c r="E163" s="279">
        <v>29556.790000000005</v>
      </c>
      <c r="F163" s="283">
        <v>6.425211413866067</v>
      </c>
    </row>
    <row r="164" spans="1:6" ht="30.75" customHeight="1">
      <c r="A164" s="365" t="s">
        <v>230</v>
      </c>
      <c r="B164" s="362" t="s">
        <v>106</v>
      </c>
      <c r="C164" s="362"/>
      <c r="D164" s="279"/>
      <c r="E164" s="279"/>
      <c r="F164" s="283"/>
    </row>
    <row r="165" spans="1:6" ht="42" customHeight="1">
      <c r="A165" s="369"/>
      <c r="B165" s="366" t="s">
        <v>51</v>
      </c>
      <c r="C165" s="367">
        <v>0.4</v>
      </c>
      <c r="D165" s="282">
        <v>23382.60921269413</v>
      </c>
      <c r="E165" s="282">
        <v>1902.6000000000001</v>
      </c>
      <c r="F165" s="281">
        <v>12.28981878098083</v>
      </c>
    </row>
    <row r="166" spans="1:6" ht="38.25" customHeight="1">
      <c r="A166" s="369"/>
      <c r="B166" s="366" t="s">
        <v>52</v>
      </c>
      <c r="C166" s="368" t="s">
        <v>15</v>
      </c>
      <c r="D166" s="282">
        <v>93530.43685077652</v>
      </c>
      <c r="E166" s="282">
        <v>10198.423333333334</v>
      </c>
      <c r="F166" s="281">
        <v>9.171068291024381</v>
      </c>
    </row>
    <row r="167" spans="1:6" ht="35.25" customHeight="1">
      <c r="A167" s="369"/>
      <c r="B167" s="364" t="s">
        <v>47</v>
      </c>
      <c r="C167" s="368" t="s">
        <v>15</v>
      </c>
      <c r="D167" s="282">
        <v>48659.6416968859</v>
      </c>
      <c r="E167" s="282">
        <v>11846.433333333334</v>
      </c>
      <c r="F167" s="281">
        <v>4.107535181915729</v>
      </c>
    </row>
    <row r="168" spans="1:6" ht="35.25" customHeight="1">
      <c r="A168" s="369"/>
      <c r="B168" s="366" t="s">
        <v>50</v>
      </c>
      <c r="C168" s="368" t="s">
        <v>77</v>
      </c>
      <c r="D168" s="282">
        <v>9353.043685077651</v>
      </c>
      <c r="E168" s="282">
        <v>1972.6666666666667</v>
      </c>
      <c r="F168" s="281">
        <v>4.74131988091128</v>
      </c>
    </row>
    <row r="169" spans="1:6" ht="35.25" customHeight="1">
      <c r="A169" s="369"/>
      <c r="B169" s="364" t="s">
        <v>46</v>
      </c>
      <c r="C169" s="368" t="s">
        <v>77</v>
      </c>
      <c r="D169" s="282">
        <v>5693.254713269413</v>
      </c>
      <c r="E169" s="282">
        <v>800</v>
      </c>
      <c r="F169" s="281">
        <v>7.116568391586766</v>
      </c>
    </row>
    <row r="170" spans="1:6" ht="35.25" customHeight="1">
      <c r="A170" s="369"/>
      <c r="B170" s="366" t="s">
        <v>50</v>
      </c>
      <c r="C170" s="368" t="s">
        <v>78</v>
      </c>
      <c r="D170" s="282">
        <v>2338.260921269413</v>
      </c>
      <c r="E170" s="282">
        <v>670</v>
      </c>
      <c r="F170" s="281">
        <v>3.4899416735364372</v>
      </c>
    </row>
    <row r="171" spans="1:6" ht="35.25" customHeight="1">
      <c r="A171" s="369"/>
      <c r="B171" s="364" t="s">
        <v>46</v>
      </c>
      <c r="C171" s="368" t="s">
        <v>78</v>
      </c>
      <c r="D171" s="282">
        <v>6951.377385269414</v>
      </c>
      <c r="E171" s="282">
        <v>2166.6666666666665</v>
      </c>
      <c r="F171" s="281">
        <v>3.2083280239704988</v>
      </c>
    </row>
    <row r="172" spans="1:6" ht="27" customHeight="1">
      <c r="A172" s="370" t="s">
        <v>231</v>
      </c>
      <c r="B172" s="371" t="s">
        <v>220</v>
      </c>
      <c r="C172" s="368"/>
      <c r="D172" s="282"/>
      <c r="E172" s="282"/>
      <c r="F172" s="281"/>
    </row>
    <row r="173" spans="1:6" ht="84" customHeight="1">
      <c r="A173" s="365">
        <v>6</v>
      </c>
      <c r="B173" s="362" t="s">
        <v>232</v>
      </c>
      <c r="C173" s="362"/>
      <c r="D173" s="279">
        <v>31760329.946162295</v>
      </c>
      <c r="E173" s="279">
        <v>77944.29666666668</v>
      </c>
      <c r="F173" s="283">
        <v>407.47471340959294</v>
      </c>
    </row>
    <row r="174" spans="1:6" ht="30" customHeight="1">
      <c r="A174" s="365" t="s">
        <v>233</v>
      </c>
      <c r="B174" s="362" t="s">
        <v>106</v>
      </c>
      <c r="C174" s="362"/>
      <c r="D174" s="279"/>
      <c r="E174" s="279"/>
      <c r="F174" s="283"/>
    </row>
    <row r="175" spans="1:6" ht="30" customHeight="1">
      <c r="A175" s="365"/>
      <c r="B175" s="366" t="s">
        <v>327</v>
      </c>
      <c r="C175" s="362"/>
      <c r="D175" s="282">
        <v>25739667.113576416</v>
      </c>
      <c r="E175" s="282">
        <v>34927.99</v>
      </c>
      <c r="F175" s="281">
        <v>736.9352520307185</v>
      </c>
    </row>
    <row r="176" spans="1:6" ht="57" customHeight="1">
      <c r="A176" s="369"/>
      <c r="B176" s="364" t="s">
        <v>219</v>
      </c>
      <c r="C176" s="364"/>
      <c r="D176" s="282">
        <v>3349468.6994117387</v>
      </c>
      <c r="E176" s="282">
        <v>2998.103333333333</v>
      </c>
      <c r="F176" s="281">
        <v>1117.1958825340928</v>
      </c>
    </row>
    <row r="177" spans="1:6" ht="46.5" customHeight="1">
      <c r="A177" s="369"/>
      <c r="B177" s="366" t="s">
        <v>330</v>
      </c>
      <c r="C177" s="367">
        <v>0.4</v>
      </c>
      <c r="D177" s="282">
        <v>963011.3598158888</v>
      </c>
      <c r="E177" s="282">
        <v>4314.93</v>
      </c>
      <c r="F177" s="281">
        <v>223.1812242182118</v>
      </c>
    </row>
    <row r="178" spans="1:6" ht="46.5" customHeight="1">
      <c r="A178" s="369"/>
      <c r="B178" s="366" t="s">
        <v>330</v>
      </c>
      <c r="C178" s="368" t="s">
        <v>15</v>
      </c>
      <c r="D178" s="282">
        <v>928242.574006615</v>
      </c>
      <c r="E178" s="282">
        <v>6146.483333333334</v>
      </c>
      <c r="F178" s="281">
        <v>151.02010754224474</v>
      </c>
    </row>
    <row r="179" spans="1:6" ht="41.25" customHeight="1">
      <c r="A179" s="369"/>
      <c r="B179" s="366" t="s">
        <v>49</v>
      </c>
      <c r="C179" s="367">
        <v>0.4</v>
      </c>
      <c r="D179" s="282">
        <v>104042.25162869412</v>
      </c>
      <c r="E179" s="282">
        <v>1902.6000000000001</v>
      </c>
      <c r="F179" s="281">
        <v>54.684248727369976</v>
      </c>
    </row>
    <row r="180" spans="1:6" ht="37.5" customHeight="1">
      <c r="A180" s="369"/>
      <c r="B180" s="366" t="s">
        <v>50</v>
      </c>
      <c r="C180" s="368" t="s">
        <v>15</v>
      </c>
      <c r="D180" s="282">
        <v>438535.6317947765</v>
      </c>
      <c r="E180" s="282">
        <v>10198.423333333334</v>
      </c>
      <c r="F180" s="281">
        <v>43.0003361756353</v>
      </c>
    </row>
    <row r="181" spans="1:6" s="8" customFormat="1" ht="38.25" customHeight="1">
      <c r="A181" s="369"/>
      <c r="B181" s="364" t="s">
        <v>46</v>
      </c>
      <c r="C181" s="368" t="s">
        <v>15</v>
      </c>
      <c r="D181" s="282">
        <v>115885.3298040859</v>
      </c>
      <c r="E181" s="282">
        <v>11846.433333333334</v>
      </c>
      <c r="F181" s="281">
        <v>9.782297046150534</v>
      </c>
    </row>
    <row r="182" spans="1:6" s="8" customFormat="1" ht="38.25" customHeight="1">
      <c r="A182" s="369"/>
      <c r="B182" s="366" t="s">
        <v>50</v>
      </c>
      <c r="C182" s="368" t="s">
        <v>77</v>
      </c>
      <c r="D182" s="282">
        <v>66220.18845947765</v>
      </c>
      <c r="E182" s="282">
        <v>1972.6666666666667</v>
      </c>
      <c r="F182" s="281">
        <v>33.56886876958988</v>
      </c>
    </row>
    <row r="183" spans="1:6" s="8" customFormat="1" ht="38.25" customHeight="1">
      <c r="A183" s="369"/>
      <c r="B183" s="364" t="s">
        <v>46</v>
      </c>
      <c r="C183" s="368" t="s">
        <v>77</v>
      </c>
      <c r="D183" s="282">
        <v>16555.047114869412</v>
      </c>
      <c r="E183" s="282">
        <v>800</v>
      </c>
      <c r="F183" s="281">
        <v>20.693808893586766</v>
      </c>
    </row>
    <row r="184" spans="1:6" s="8" customFormat="1" ht="38.25" customHeight="1">
      <c r="A184" s="369"/>
      <c r="B184" s="366" t="s">
        <v>50</v>
      </c>
      <c r="C184" s="368" t="s">
        <v>78</v>
      </c>
      <c r="D184" s="282">
        <v>16555.047114869412</v>
      </c>
      <c r="E184" s="282">
        <v>670</v>
      </c>
      <c r="F184" s="281">
        <v>24.709025544581213</v>
      </c>
    </row>
    <row r="185" spans="1:6" s="8" customFormat="1" ht="38.25" customHeight="1">
      <c r="A185" s="369"/>
      <c r="B185" s="364" t="s">
        <v>46</v>
      </c>
      <c r="C185" s="368" t="s">
        <v>78</v>
      </c>
      <c r="D185" s="282">
        <v>22146.703434869414</v>
      </c>
      <c r="E185" s="282">
        <v>2166.6666666666665</v>
      </c>
      <c r="F185" s="281">
        <v>10.221555431478192</v>
      </c>
    </row>
    <row r="186" spans="1:6" s="8" customFormat="1" ht="38.25" customHeight="1" thickBot="1">
      <c r="A186" s="383" t="s">
        <v>234</v>
      </c>
      <c r="B186" s="384" t="s">
        <v>220</v>
      </c>
      <c r="C186" s="385"/>
      <c r="D186" s="294"/>
      <c r="E186" s="294"/>
      <c r="F186" s="295"/>
    </row>
    <row r="187" spans="1:6" ht="54" customHeight="1">
      <c r="A187" s="98" t="s">
        <v>157</v>
      </c>
      <c r="B187" s="470" t="s">
        <v>178</v>
      </c>
      <c r="C187" s="470"/>
      <c r="D187" s="470"/>
      <c r="E187" s="470"/>
      <c r="F187" s="470"/>
    </row>
    <row r="188" spans="1:6" ht="54" customHeight="1">
      <c r="A188" s="99" t="s">
        <v>158</v>
      </c>
      <c r="B188" s="471" t="s">
        <v>235</v>
      </c>
      <c r="C188" s="471"/>
      <c r="D188" s="471"/>
      <c r="E188" s="471"/>
      <c r="F188" s="471"/>
    </row>
    <row r="189" spans="1:6" ht="15.75" customHeight="1">
      <c r="A189" s="100" t="s">
        <v>193</v>
      </c>
      <c r="B189" s="422" t="s">
        <v>236</v>
      </c>
      <c r="C189" s="422"/>
      <c r="D189" s="422"/>
      <c r="E189" s="422"/>
      <c r="F189" s="422"/>
    </row>
    <row r="190" spans="2:6" ht="77.25" customHeight="1">
      <c r="B190" s="101"/>
      <c r="C190" s="102"/>
      <c r="D190" s="103"/>
      <c r="E190" s="104"/>
      <c r="F190" s="105"/>
    </row>
    <row r="191" spans="1:6" ht="23.25" customHeight="1">
      <c r="A191" s="467" t="s">
        <v>333</v>
      </c>
      <c r="B191" s="467"/>
      <c r="C191" s="102"/>
      <c r="D191" s="103"/>
      <c r="E191" s="104"/>
      <c r="F191" s="105" t="s">
        <v>334</v>
      </c>
    </row>
    <row r="192" spans="1:6" ht="60.75" customHeight="1">
      <c r="A192" s="387" t="s">
        <v>335</v>
      </c>
      <c r="B192" s="101"/>
      <c r="C192" s="102"/>
      <c r="D192" s="103"/>
      <c r="E192" s="353"/>
      <c r="F192" s="105" t="s">
        <v>336</v>
      </c>
    </row>
    <row r="193" spans="1:6" ht="20.25">
      <c r="A193" s="388"/>
      <c r="B193" s="468"/>
      <c r="C193" s="468"/>
      <c r="D193" s="389"/>
      <c r="E193" s="387"/>
      <c r="F193" s="390"/>
    </row>
    <row r="194" spans="1:6" ht="49.5" customHeight="1">
      <c r="A194" s="387" t="s">
        <v>337</v>
      </c>
      <c r="B194" s="101"/>
      <c r="C194" s="391"/>
      <c r="D194" s="103"/>
      <c r="E194" s="353"/>
      <c r="F194" s="105" t="s">
        <v>338</v>
      </c>
    </row>
    <row r="195" spans="1:6" ht="20.25">
      <c r="A195" s="387"/>
      <c r="B195" s="102"/>
      <c r="C195" s="392"/>
      <c r="D195" s="103"/>
      <c r="E195" s="353"/>
      <c r="F195" s="105"/>
    </row>
    <row r="196" spans="1:6" ht="20.25">
      <c r="A196" s="393"/>
      <c r="B196" s="101"/>
      <c r="C196" s="392"/>
      <c r="D196" s="104"/>
      <c r="E196" s="353"/>
      <c r="F196" s="105"/>
    </row>
    <row r="197" spans="1:6" ht="15.75">
      <c r="A197" s="394"/>
      <c r="B197" s="394"/>
      <c r="C197" s="394"/>
      <c r="F197" s="395"/>
    </row>
    <row r="198" spans="1:6" ht="15.75">
      <c r="A198" s="394"/>
      <c r="B198" s="394"/>
      <c r="C198" s="394"/>
      <c r="F198" s="395"/>
    </row>
    <row r="199" spans="2:3" ht="15.75">
      <c r="B199" s="394"/>
      <c r="C199" s="394"/>
    </row>
  </sheetData>
  <sheetProtection/>
  <mergeCells count="12">
    <mergeCell ref="D1:F1"/>
    <mergeCell ref="G5:H5"/>
    <mergeCell ref="A6:F6"/>
    <mergeCell ref="A9:A10"/>
    <mergeCell ref="B189:F189"/>
    <mergeCell ref="A191:B191"/>
    <mergeCell ref="B193:C193"/>
    <mergeCell ref="F3:F4"/>
    <mergeCell ref="A7:F7"/>
    <mergeCell ref="D2:F2"/>
    <mergeCell ref="B187:F187"/>
    <mergeCell ref="B188:F188"/>
  </mergeCells>
  <printOptions horizontalCentered="1"/>
  <pageMargins left="0" right="0" top="0" bottom="0" header="0" footer="0"/>
  <pageSetup fitToHeight="4" horizontalDpi="600" verticalDpi="600" orientation="portrait" paperSize="9" scale="49" r:id="rId1"/>
  <rowBreaks count="3" manualBreakCount="3">
    <brk id="108" max="5" man="1"/>
    <brk id="144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41"/>
  <sheetViews>
    <sheetView view="pageBreakPreview" zoomScale="80" zoomScaleSheetLayoutView="80" zoomScalePageLayoutView="0" workbookViewId="0" topLeftCell="A1">
      <selection activeCell="A6" sqref="A6:D6"/>
    </sheetView>
  </sheetViews>
  <sheetFormatPr defaultColWidth="9.00390625" defaultRowHeight="12.75"/>
  <cols>
    <col min="1" max="1" width="10.75390625" style="7" customWidth="1"/>
    <col min="2" max="2" width="62.375" style="7" customWidth="1"/>
    <col min="3" max="3" width="21.375" style="7" customWidth="1"/>
    <col min="4" max="4" width="20.25390625" style="8" customWidth="1"/>
    <col min="5" max="5" width="13.25390625" style="8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9"/>
      <c r="B1" s="3"/>
      <c r="C1" s="476" t="s">
        <v>206</v>
      </c>
      <c r="D1" s="476"/>
    </row>
    <row r="2" spans="1:4" s="1" customFormat="1" ht="39" customHeight="1">
      <c r="A2" s="9"/>
      <c r="B2" s="4"/>
      <c r="C2" s="437" t="s">
        <v>89</v>
      </c>
      <c r="D2" s="437"/>
    </row>
    <row r="3" spans="1:2" s="1" customFormat="1" ht="5.25" customHeight="1">
      <c r="A3" s="9"/>
      <c r="B3" s="4"/>
    </row>
    <row r="4" spans="1:2" s="1" customFormat="1" ht="7.5" customHeight="1">
      <c r="A4" s="9"/>
      <c r="B4" s="4"/>
    </row>
    <row r="5" spans="4:5" ht="16.5" customHeight="1">
      <c r="D5" s="7"/>
      <c r="E5" s="7"/>
    </row>
    <row r="6" spans="1:7" ht="90" customHeight="1">
      <c r="A6" s="483" t="s">
        <v>237</v>
      </c>
      <c r="B6" s="483"/>
      <c r="C6" s="483"/>
      <c r="D6" s="483"/>
      <c r="E6" s="10"/>
      <c r="F6" s="10"/>
      <c r="G6" s="10"/>
    </row>
    <row r="7" spans="1:7" s="16" customFormat="1" ht="23.25" customHeight="1">
      <c r="A7" s="479"/>
      <c r="B7" s="479"/>
      <c r="C7" s="479"/>
      <c r="D7" s="15"/>
      <c r="E7" s="15"/>
      <c r="F7" s="15"/>
      <c r="G7" s="15"/>
    </row>
    <row r="8" spans="1:7" ht="18" customHeight="1" thickBot="1">
      <c r="A8" s="11"/>
      <c r="B8" s="11"/>
      <c r="C8" s="11"/>
      <c r="D8" s="54" t="s">
        <v>114</v>
      </c>
      <c r="E8" s="10"/>
      <c r="F8" s="10"/>
      <c r="G8" s="10"/>
    </row>
    <row r="9" spans="1:5" ht="18.75" customHeight="1">
      <c r="A9" s="480" t="s">
        <v>44</v>
      </c>
      <c r="B9" s="480" t="s">
        <v>88</v>
      </c>
      <c r="C9" s="477" t="s">
        <v>162</v>
      </c>
      <c r="D9" s="477" t="s">
        <v>163</v>
      </c>
      <c r="E9" s="7"/>
    </row>
    <row r="10" spans="1:4" s="12" customFormat="1" ht="73.5" customHeight="1" thickBot="1">
      <c r="A10" s="481"/>
      <c r="B10" s="481"/>
      <c r="C10" s="482"/>
      <c r="D10" s="478"/>
    </row>
    <row r="11" spans="1:5" ht="37.5">
      <c r="A11" s="21" t="s">
        <v>19</v>
      </c>
      <c r="B11" s="38" t="s">
        <v>164</v>
      </c>
      <c r="C11" s="116">
        <f>C13+C14+C15+C16+C17+C28</f>
        <v>35138.491239999996</v>
      </c>
      <c r="D11" s="117">
        <f>D13+D14+D15+D16+D17+D28</f>
        <v>82705.69350257295</v>
      </c>
      <c r="E11" s="7"/>
    </row>
    <row r="12" spans="1:5" ht="18.75">
      <c r="A12" s="64"/>
      <c r="B12" s="65" t="s">
        <v>165</v>
      </c>
      <c r="C12" s="118"/>
      <c r="D12" s="119"/>
      <c r="E12" s="7"/>
    </row>
    <row r="13" spans="1:5" ht="18.75">
      <c r="A13" s="19" t="s">
        <v>23</v>
      </c>
      <c r="B13" s="39" t="s">
        <v>166</v>
      </c>
      <c r="C13" s="106">
        <v>731.066</v>
      </c>
      <c r="D13" s="111">
        <v>2142.8351218616003</v>
      </c>
      <c r="E13" s="7"/>
    </row>
    <row r="14" spans="1:5" ht="18.75">
      <c r="A14" s="19" t="s">
        <v>24</v>
      </c>
      <c r="B14" s="39" t="s">
        <v>167</v>
      </c>
      <c r="C14" s="106">
        <v>174.922</v>
      </c>
      <c r="D14" s="111">
        <v>441.43</v>
      </c>
      <c r="E14" s="7"/>
    </row>
    <row r="15" spans="1:5" ht="18.75">
      <c r="A15" s="19" t="s">
        <v>25</v>
      </c>
      <c r="B15" s="39" t="s">
        <v>168</v>
      </c>
      <c r="C15" s="106">
        <v>18412.894999999997</v>
      </c>
      <c r="D15" s="111">
        <v>53507.07</v>
      </c>
      <c r="E15" s="7"/>
    </row>
    <row r="16" spans="1:5" ht="18.75">
      <c r="A16" s="19" t="s">
        <v>26</v>
      </c>
      <c r="B16" s="39" t="s">
        <v>169</v>
      </c>
      <c r="C16" s="106">
        <v>5490.139</v>
      </c>
      <c r="D16" s="111">
        <v>16266.15</v>
      </c>
      <c r="E16" s="7"/>
    </row>
    <row r="17" spans="1:5" ht="18.75">
      <c r="A17" s="19" t="s">
        <v>0</v>
      </c>
      <c r="B17" s="39" t="s">
        <v>170</v>
      </c>
      <c r="C17" s="120">
        <f>C19+C20+C21</f>
        <v>7460.9220000000005</v>
      </c>
      <c r="D17" s="122">
        <f>D19+D20+D21</f>
        <v>7731.353410711352</v>
      </c>
      <c r="E17" s="7"/>
    </row>
    <row r="18" spans="1:5" ht="18.75">
      <c r="A18" s="19"/>
      <c r="B18" s="39" t="s">
        <v>171</v>
      </c>
      <c r="C18" s="120"/>
      <c r="D18" s="122"/>
      <c r="E18" s="7"/>
    </row>
    <row r="19" spans="1:5" ht="20.25" customHeight="1">
      <c r="A19" s="19" t="s">
        <v>1</v>
      </c>
      <c r="B19" s="39" t="s">
        <v>27</v>
      </c>
      <c r="C19" s="106">
        <v>674.908</v>
      </c>
      <c r="D19" s="111">
        <v>50.666</v>
      </c>
      <c r="E19" s="7"/>
    </row>
    <row r="20" spans="1:5" ht="37.5" customHeight="1">
      <c r="A20" s="19" t="s">
        <v>2</v>
      </c>
      <c r="B20" s="39" t="s">
        <v>70</v>
      </c>
      <c r="C20" s="106">
        <v>317.36100000000005</v>
      </c>
      <c r="D20" s="111">
        <v>686.951</v>
      </c>
      <c r="E20" s="7"/>
    </row>
    <row r="21" spans="1:5" ht="34.5" customHeight="1">
      <c r="A21" s="19" t="s">
        <v>3</v>
      </c>
      <c r="B21" s="39" t="s">
        <v>172</v>
      </c>
      <c r="C21" s="120">
        <f>C23+C24+C25+C26+C27</f>
        <v>6468.653</v>
      </c>
      <c r="D21" s="122">
        <f>D23+D24+D25+D26+D27</f>
        <v>6993.736410711352</v>
      </c>
      <c r="E21" s="7"/>
    </row>
    <row r="22" spans="1:5" ht="18.75">
      <c r="A22" s="19"/>
      <c r="B22" s="39" t="s">
        <v>165</v>
      </c>
      <c r="C22" s="120"/>
      <c r="D22" s="122"/>
      <c r="E22" s="7"/>
    </row>
    <row r="23" spans="1:5" ht="18.75">
      <c r="A23" s="19" t="s">
        <v>4</v>
      </c>
      <c r="B23" s="40" t="s">
        <v>32</v>
      </c>
      <c r="C23" s="107">
        <v>100.168</v>
      </c>
      <c r="D23" s="111">
        <v>251.0584</v>
      </c>
      <c r="E23" s="7"/>
    </row>
    <row r="24" spans="1:5" ht="18.75">
      <c r="A24" s="19" t="s">
        <v>5</v>
      </c>
      <c r="B24" s="39" t="s">
        <v>20</v>
      </c>
      <c r="C24" s="107">
        <v>203.63099999999997</v>
      </c>
      <c r="D24" s="111">
        <v>235.137</v>
      </c>
      <c r="E24" s="7"/>
    </row>
    <row r="25" spans="1:5" ht="37.5">
      <c r="A25" s="19" t="s">
        <v>6</v>
      </c>
      <c r="B25" s="39" t="s">
        <v>21</v>
      </c>
      <c r="C25" s="106">
        <v>215.296</v>
      </c>
      <c r="D25" s="111">
        <v>548.0240000000001</v>
      </c>
      <c r="E25" s="7"/>
    </row>
    <row r="26" spans="1:5" ht="18.75">
      <c r="A26" s="19" t="s">
        <v>7</v>
      </c>
      <c r="B26" s="39" t="s">
        <v>22</v>
      </c>
      <c r="C26" s="107">
        <v>36.867999999999995</v>
      </c>
      <c r="D26" s="111">
        <v>65.423</v>
      </c>
      <c r="E26" s="7"/>
    </row>
    <row r="27" spans="1:5" ht="38.25" customHeight="1">
      <c r="A27" s="19" t="s">
        <v>8</v>
      </c>
      <c r="B27" s="39" t="s">
        <v>48</v>
      </c>
      <c r="C27" s="121">
        <v>5912.6900000000005</v>
      </c>
      <c r="D27" s="122">
        <v>5894.094010711352</v>
      </c>
      <c r="E27" s="7"/>
    </row>
    <row r="28" spans="1:5" ht="18.75">
      <c r="A28" s="19" t="s">
        <v>9</v>
      </c>
      <c r="B28" s="39" t="s">
        <v>173</v>
      </c>
      <c r="C28" s="120">
        <f>C30+C31+C32+C33</f>
        <v>2868.54724</v>
      </c>
      <c r="D28" s="122">
        <f>D30+D31+D32+D33</f>
        <v>2616.8549700000003</v>
      </c>
      <c r="E28" s="7"/>
    </row>
    <row r="29" spans="1:5" ht="18.75">
      <c r="A29" s="19"/>
      <c r="B29" s="39" t="s">
        <v>165</v>
      </c>
      <c r="C29" s="120"/>
      <c r="D29" s="122"/>
      <c r="E29" s="7"/>
    </row>
    <row r="30" spans="1:5" ht="18.75">
      <c r="A30" s="19" t="s">
        <v>10</v>
      </c>
      <c r="B30" s="39" t="s">
        <v>28</v>
      </c>
      <c r="C30" s="107">
        <v>1.52124</v>
      </c>
      <c r="D30" s="111">
        <v>1.50629</v>
      </c>
      <c r="E30" s="7"/>
    </row>
    <row r="31" spans="1:5" ht="18.75">
      <c r="A31" s="19" t="s">
        <v>11</v>
      </c>
      <c r="B31" s="39" t="s">
        <v>29</v>
      </c>
      <c r="C31" s="107"/>
      <c r="D31" s="112"/>
      <c r="E31" s="7"/>
    </row>
    <row r="32" spans="1:5" ht="18.75">
      <c r="A32" s="19" t="s">
        <v>12</v>
      </c>
      <c r="B32" s="41" t="s">
        <v>115</v>
      </c>
      <c r="C32" s="113">
        <v>2152.31918</v>
      </c>
      <c r="D32" s="111">
        <v>1853.66807</v>
      </c>
      <c r="E32" s="7"/>
    </row>
    <row r="33" spans="1:5" ht="37.5">
      <c r="A33" s="19" t="s">
        <v>13</v>
      </c>
      <c r="B33" s="39" t="s">
        <v>174</v>
      </c>
      <c r="C33" s="113">
        <v>714.70682</v>
      </c>
      <c r="D33" s="111">
        <v>761.6806100000001</v>
      </c>
      <c r="E33" s="7"/>
    </row>
    <row r="34" spans="1:5" ht="93.75">
      <c r="A34" s="18" t="s">
        <v>30</v>
      </c>
      <c r="B34" s="42" t="s">
        <v>175</v>
      </c>
      <c r="C34" s="108">
        <v>170019.81</v>
      </c>
      <c r="D34" s="123">
        <v>292386.61491</v>
      </c>
      <c r="E34" s="7"/>
    </row>
    <row r="35" spans="1:4" s="13" customFormat="1" ht="18.75">
      <c r="A35" s="18" t="s">
        <v>14</v>
      </c>
      <c r="B35" s="42" t="s">
        <v>176</v>
      </c>
      <c r="C35" s="114"/>
      <c r="D35" s="115"/>
    </row>
    <row r="36" spans="1:4" s="8" customFormat="1" ht="41.25" customHeight="1" thickBot="1">
      <c r="A36" s="20"/>
      <c r="B36" s="43" t="s">
        <v>196</v>
      </c>
      <c r="C36" s="109">
        <f>C11+C34</f>
        <v>205158.30124</v>
      </c>
      <c r="D36" s="110">
        <f>D11+D34</f>
        <v>375092.30841257295</v>
      </c>
    </row>
    <row r="37" spans="1:2" ht="12.75">
      <c r="A37" s="94" t="s">
        <v>197</v>
      </c>
      <c r="B37" s="7" t="s">
        <v>198</v>
      </c>
    </row>
    <row r="39" spans="1:4" ht="50.25" customHeight="1">
      <c r="A39" s="460" t="s">
        <v>321</v>
      </c>
      <c r="B39" s="460"/>
      <c r="C39" s="341"/>
      <c r="D39" s="342" t="s">
        <v>318</v>
      </c>
    </row>
    <row r="40" spans="1:5" ht="20.25">
      <c r="A40" s="343"/>
      <c r="B40" s="344"/>
      <c r="C40" s="345"/>
      <c r="D40" s="345"/>
      <c r="E40" s="348"/>
    </row>
    <row r="41" spans="1:5" ht="20.25">
      <c r="A41" s="464"/>
      <c r="B41" s="465"/>
      <c r="C41" s="345"/>
      <c r="D41" s="345"/>
      <c r="E41" s="349"/>
    </row>
  </sheetData>
  <sheetProtection/>
  <mergeCells count="10">
    <mergeCell ref="A39:B39"/>
    <mergeCell ref="A41:B41"/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8"/>
  <sheetViews>
    <sheetView view="pageBreakPreview" zoomScale="85" zoomScaleSheetLayoutView="85" zoomScalePageLayoutView="0" workbookViewId="0" topLeftCell="A1">
      <selection activeCell="A4" sqref="A4:C4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437" t="s">
        <v>207</v>
      </c>
      <c r="C1" s="437"/>
      <c r="D1" s="53"/>
    </row>
    <row r="2" spans="2:4" ht="39.75" customHeight="1">
      <c r="B2" s="53"/>
      <c r="C2" s="51" t="s">
        <v>89</v>
      </c>
      <c r="D2" s="53"/>
    </row>
    <row r="3" spans="1:3" ht="12.75">
      <c r="A3" s="17"/>
      <c r="B3" s="17"/>
      <c r="C3" s="17"/>
    </row>
    <row r="4" spans="1:3" ht="63" customHeight="1">
      <c r="A4" s="484" t="s">
        <v>129</v>
      </c>
      <c r="B4" s="484"/>
      <c r="C4" s="484"/>
    </row>
    <row r="5" spans="1:3" ht="15.75">
      <c r="A5" s="58"/>
      <c r="B5" s="58"/>
      <c r="C5" s="58"/>
    </row>
    <row r="6" spans="1:3" ht="15.75">
      <c r="A6" s="58"/>
      <c r="B6" s="58"/>
      <c r="C6" s="58"/>
    </row>
    <row r="7" spans="1:3" ht="64.5" customHeight="1">
      <c r="A7" s="29" t="s">
        <v>116</v>
      </c>
      <c r="B7" s="29" t="s">
        <v>120</v>
      </c>
      <c r="C7" s="29" t="s">
        <v>138</v>
      </c>
    </row>
    <row r="8" spans="1:3" ht="64.5" customHeight="1">
      <c r="A8" s="57" t="s">
        <v>121</v>
      </c>
      <c r="B8" s="44">
        <f>SUM(B9:B11)</f>
        <v>4507.181473333334</v>
      </c>
      <c r="C8" s="44">
        <f>SUM(C9:C11)</f>
        <v>6333.103333333333</v>
      </c>
    </row>
    <row r="9" spans="1:3" ht="31.5">
      <c r="A9" s="27" t="s">
        <v>118</v>
      </c>
      <c r="B9" s="25"/>
      <c r="C9" s="91"/>
    </row>
    <row r="10" spans="1:3" ht="31.5">
      <c r="A10" s="27" t="s">
        <v>117</v>
      </c>
      <c r="B10" s="56">
        <f>Лист1!N86</f>
        <v>1511.4351633333335</v>
      </c>
      <c r="C10" s="91">
        <f>Лист1!F86</f>
        <v>379.5833333333333</v>
      </c>
    </row>
    <row r="11" spans="1:3" ht="31.5">
      <c r="A11" s="27" t="s">
        <v>119</v>
      </c>
      <c r="B11" s="56">
        <f>Лист1!N88</f>
        <v>2995.74631</v>
      </c>
      <c r="C11" s="91">
        <f>Лист1!F88</f>
        <v>5953.5199999999995</v>
      </c>
    </row>
    <row r="12" spans="1:3" ht="84.75" customHeight="1">
      <c r="A12" s="28" t="s">
        <v>122</v>
      </c>
      <c r="B12" s="44">
        <f>SUM(B13:B17)</f>
        <v>57365.545545</v>
      </c>
      <c r="C12" s="44">
        <f>SUM(C13:C17)</f>
        <v>4566.933333333333</v>
      </c>
    </row>
    <row r="13" spans="1:3" ht="31.5">
      <c r="A13" s="27" t="s">
        <v>123</v>
      </c>
      <c r="B13" s="56">
        <f>Лист1!N91</f>
        <v>593.7371899999999</v>
      </c>
      <c r="C13" s="97">
        <f>Лист1!F91</f>
        <v>15</v>
      </c>
    </row>
    <row r="14" spans="1:3" ht="31.5">
      <c r="A14" s="27" t="s">
        <v>124</v>
      </c>
      <c r="B14" s="56">
        <f>Лист1!N94</f>
        <v>5457.146996666667</v>
      </c>
      <c r="C14" s="91">
        <f>Лист1!F94</f>
        <v>573.3333333333334</v>
      </c>
    </row>
    <row r="15" spans="1:3" ht="31.5">
      <c r="A15" s="27" t="s">
        <v>125</v>
      </c>
      <c r="B15" s="56">
        <f>Лист1!N99</f>
        <v>25274.185293333332</v>
      </c>
      <c r="C15" s="91">
        <f>Лист1!F99</f>
        <v>1703.6000000000001</v>
      </c>
    </row>
    <row r="16" spans="1:3" ht="31.5">
      <c r="A16" s="27" t="s">
        <v>126</v>
      </c>
      <c r="B16" s="56">
        <f>Лист1!N105</f>
        <v>26040.476065000003</v>
      </c>
      <c r="C16" s="91">
        <f>Лист1!F105</f>
        <v>2275</v>
      </c>
    </row>
    <row r="17" spans="1:3" ht="31.5">
      <c r="A17" s="27" t="s">
        <v>127</v>
      </c>
      <c r="B17" s="25"/>
      <c r="C17" s="91"/>
    </row>
    <row r="18" spans="1:3" ht="66" customHeight="1">
      <c r="A18" s="57" t="s">
        <v>128</v>
      </c>
      <c r="B18" s="25"/>
      <c r="C18" s="90"/>
    </row>
    <row r="19" spans="1:3" ht="31.5">
      <c r="A19" s="27" t="s">
        <v>123</v>
      </c>
      <c r="B19" s="25"/>
      <c r="C19" s="25"/>
    </row>
    <row r="20" spans="1:3" ht="31.5">
      <c r="A20" s="27" t="s">
        <v>124</v>
      </c>
      <c r="B20" s="26"/>
      <c r="C20" s="26"/>
    </row>
    <row r="21" spans="1:3" ht="31.5">
      <c r="A21" s="27" t="s">
        <v>125</v>
      </c>
      <c r="B21" s="26"/>
      <c r="C21" s="26"/>
    </row>
    <row r="22" spans="1:3" ht="31.5">
      <c r="A22" s="27" t="s">
        <v>126</v>
      </c>
      <c r="B22" s="26"/>
      <c r="C22" s="26"/>
    </row>
    <row r="23" spans="1:3" ht="31.5">
      <c r="A23" s="27" t="s">
        <v>127</v>
      </c>
      <c r="B23" s="26"/>
      <c r="C23" s="26"/>
    </row>
    <row r="27" spans="1:5" ht="20.25">
      <c r="A27" s="351"/>
      <c r="B27" s="351"/>
      <c r="D27" s="350"/>
      <c r="E27" s="350"/>
    </row>
    <row r="28" spans="1:8" ht="51" customHeight="1">
      <c r="A28" s="485" t="s">
        <v>322</v>
      </c>
      <c r="B28" s="486"/>
      <c r="C28" s="349" t="s">
        <v>320</v>
      </c>
      <c r="D28" s="345"/>
      <c r="E28" s="345"/>
      <c r="F28" s="345"/>
      <c r="G28" s="461"/>
      <c r="H28" s="462"/>
    </row>
  </sheetData>
  <sheetProtection/>
  <mergeCells count="4">
    <mergeCell ref="B1:C1"/>
    <mergeCell ref="A4:C4"/>
    <mergeCell ref="A28:B28"/>
    <mergeCell ref="G28:H28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8"/>
  <sheetViews>
    <sheetView view="pageBreakPreview" zoomScale="60" zoomScalePageLayoutView="0" workbookViewId="0" topLeftCell="A1">
      <selection activeCell="A4" sqref="A4:D4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437" t="s">
        <v>208</v>
      </c>
      <c r="D1" s="437"/>
      <c r="E1" s="53"/>
    </row>
    <row r="2" spans="3:5" ht="39.75" customHeight="1">
      <c r="C2" s="53"/>
      <c r="D2" s="51" t="s">
        <v>89</v>
      </c>
      <c r="E2" s="53"/>
    </row>
    <row r="3" spans="1:4" ht="12.75">
      <c r="A3" s="17"/>
      <c r="B3" s="17"/>
      <c r="C3" s="17"/>
      <c r="D3" s="17"/>
    </row>
    <row r="4" spans="1:4" ht="77.25" customHeight="1">
      <c r="A4" s="484" t="s">
        <v>130</v>
      </c>
      <c r="B4" s="484"/>
      <c r="C4" s="484"/>
      <c r="D4" s="484"/>
    </row>
    <row r="5" spans="1:4" ht="15.75">
      <c r="A5" s="58"/>
      <c r="B5" s="58"/>
      <c r="C5" s="58"/>
      <c r="D5" s="58"/>
    </row>
    <row r="6" spans="1:4" ht="15.75">
      <c r="A6" s="58"/>
      <c r="B6" s="58"/>
      <c r="C6" s="58"/>
      <c r="D6" s="58"/>
    </row>
    <row r="7" spans="1:4" ht="80.25" customHeight="1">
      <c r="A7" s="29" t="s">
        <v>116</v>
      </c>
      <c r="B7" s="29" t="s">
        <v>137</v>
      </c>
      <c r="C7" s="29" t="s">
        <v>131</v>
      </c>
      <c r="D7" s="29" t="s">
        <v>136</v>
      </c>
    </row>
    <row r="8" spans="1:4" ht="75" customHeight="1">
      <c r="A8" s="57" t="s">
        <v>132</v>
      </c>
      <c r="B8" s="96">
        <f>B9+B10+B11</f>
        <v>43995.98051671792</v>
      </c>
      <c r="C8" s="96">
        <f>C9+C10+C11</f>
        <v>17.3245</v>
      </c>
      <c r="D8" s="92">
        <f>D9+D10+D11</f>
        <v>3646.75</v>
      </c>
    </row>
    <row r="9" spans="1:4" ht="25.5" customHeight="1">
      <c r="A9" s="27" t="s">
        <v>133</v>
      </c>
      <c r="B9" s="56">
        <f>Лист1!N61+Лист1!N68+Лист1!N77</f>
        <v>872.69078</v>
      </c>
      <c r="C9" s="97">
        <f>Лист1!F61+Лист1!F68+Лист1!F77</f>
        <v>0.654</v>
      </c>
      <c r="D9" s="91">
        <f>Лист1!J61+Лист1!J68+Лист1!J77</f>
        <v>530.75</v>
      </c>
    </row>
    <row r="10" spans="1:4" ht="25.5" customHeight="1">
      <c r="A10" s="27" t="s">
        <v>134</v>
      </c>
      <c r="B10" s="56">
        <f>Лист1!N62+Лист1!N69+Лист1!N78</f>
        <v>43123.289736717925</v>
      </c>
      <c r="C10" s="97">
        <f>Лист1!F62+Лист1!F69+Лист1!F78</f>
        <v>16.6705</v>
      </c>
      <c r="D10" s="91">
        <f>Лист1!J62+Лист1!J69+Лист1!J78</f>
        <v>3116</v>
      </c>
    </row>
    <row r="11" spans="1:4" ht="24" customHeight="1">
      <c r="A11" s="27" t="s">
        <v>75</v>
      </c>
      <c r="B11" s="56"/>
      <c r="C11" s="97"/>
      <c r="D11" s="91"/>
    </row>
    <row r="12" spans="1:4" ht="84.75" customHeight="1">
      <c r="A12" s="28" t="s">
        <v>135</v>
      </c>
      <c r="B12" s="96">
        <f>B13+B14+B15</f>
        <v>5763.228343333334</v>
      </c>
      <c r="C12" s="96">
        <f>C13+C14+C15</f>
        <v>4.953666666666667</v>
      </c>
      <c r="D12" s="92">
        <f>D13+D14+D15</f>
        <v>1582.6666666666667</v>
      </c>
    </row>
    <row r="13" spans="1:4" ht="23.25" customHeight="1">
      <c r="A13" s="27" t="s">
        <v>133</v>
      </c>
      <c r="B13" s="56">
        <f>Лист1!N36+Лист1!N40+Лист1!N49</f>
        <v>2744.7704533333335</v>
      </c>
      <c r="C13" s="97">
        <f>Лист1!F36+Лист1!F40+Лист1!F49</f>
        <v>2.151666666666667</v>
      </c>
      <c r="D13" s="93">
        <f>Лист1!J36+Лист1!J40+Лист1!J49</f>
        <v>811.6666666666667</v>
      </c>
    </row>
    <row r="14" spans="1:4" ht="24" customHeight="1">
      <c r="A14" s="27" t="s">
        <v>134</v>
      </c>
      <c r="B14" s="56">
        <f>Лист1!N41+Лист1!N50</f>
        <v>3018.45789</v>
      </c>
      <c r="C14" s="97">
        <f>Лист1!F41+Лист1!F50</f>
        <v>2.802</v>
      </c>
      <c r="D14" s="93">
        <f>Лист1!J41+Лист1!J50</f>
        <v>771</v>
      </c>
    </row>
    <row r="15" spans="1:4" ht="24" customHeight="1">
      <c r="A15" s="27" t="s">
        <v>75</v>
      </c>
      <c r="B15" s="25"/>
      <c r="C15" s="90"/>
      <c r="D15" s="93"/>
    </row>
    <row r="18" spans="1:4" ht="48.75" customHeight="1">
      <c r="A18" s="485" t="s">
        <v>322</v>
      </c>
      <c r="B18" s="486"/>
      <c r="D18" s="349" t="s">
        <v>320</v>
      </c>
    </row>
    <row r="20" ht="60" customHeight="1"/>
  </sheetData>
  <sheetProtection/>
  <mergeCells count="3">
    <mergeCell ref="C1:D1"/>
    <mergeCell ref="A4:D4"/>
    <mergeCell ref="A18:B18"/>
  </mergeCell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0"/>
  <sheetViews>
    <sheetView view="pageBreakPreview" zoomScale="80" zoomScaleSheetLayoutView="80" zoomScalePageLayoutView="0" workbookViewId="0" topLeftCell="A1">
      <selection activeCell="B4" sqref="B4:K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437" t="s">
        <v>209</v>
      </c>
      <c r="G1" s="437"/>
      <c r="H1" s="437"/>
      <c r="I1" s="437"/>
      <c r="J1" s="437"/>
      <c r="K1" s="437"/>
      <c r="L1" s="53"/>
    </row>
    <row r="2" spans="6:12" ht="54" customHeight="1">
      <c r="F2" s="53"/>
      <c r="G2" s="53"/>
      <c r="H2" s="53"/>
      <c r="I2" s="437" t="s">
        <v>89</v>
      </c>
      <c r="J2" s="437"/>
      <c r="K2" s="437"/>
      <c r="L2" s="53"/>
    </row>
    <row r="3" spans="2:11" ht="12.7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77.25" customHeight="1">
      <c r="B4" s="484" t="s">
        <v>195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2:11" ht="15.75"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34.5" customHeight="1">
      <c r="A6" s="495" t="s">
        <v>139</v>
      </c>
      <c r="B6" s="495"/>
      <c r="C6" s="495" t="s">
        <v>140</v>
      </c>
      <c r="D6" s="495"/>
      <c r="E6" s="495"/>
      <c r="F6" s="495" t="s">
        <v>141</v>
      </c>
      <c r="G6" s="495"/>
      <c r="H6" s="495"/>
      <c r="I6" s="487" t="s">
        <v>142</v>
      </c>
      <c r="J6" s="488"/>
      <c r="K6" s="489"/>
    </row>
    <row r="7" spans="1:11" ht="46.5" customHeight="1">
      <c r="A7" s="495"/>
      <c r="B7" s="495"/>
      <c r="C7" s="29" t="s">
        <v>37</v>
      </c>
      <c r="D7" s="29" t="s">
        <v>143</v>
      </c>
      <c r="E7" s="29" t="s">
        <v>144</v>
      </c>
      <c r="F7" s="29" t="s">
        <v>37</v>
      </c>
      <c r="G7" s="29" t="s">
        <v>143</v>
      </c>
      <c r="H7" s="29" t="s">
        <v>144</v>
      </c>
      <c r="I7" s="29" t="s">
        <v>37</v>
      </c>
      <c r="J7" s="29" t="s">
        <v>143</v>
      </c>
      <c r="K7" s="29" t="s">
        <v>144</v>
      </c>
    </row>
    <row r="8" spans="1:11" ht="48.75" customHeight="1">
      <c r="A8" s="59" t="s">
        <v>83</v>
      </c>
      <c r="B8" s="57" t="s">
        <v>145</v>
      </c>
      <c r="C8" s="332">
        <f>'[4]форма 2'!$AO$13</f>
        <v>2866</v>
      </c>
      <c r="D8" s="332">
        <f>'[4]форма 2'!$AQ$13</f>
        <v>16</v>
      </c>
      <c r="E8" s="332"/>
      <c r="F8" s="316">
        <f>'[4]форма 2'!$AP$13</f>
        <v>26801.480000000003</v>
      </c>
      <c r="G8" s="316">
        <f>'[4]форма 2'!$AR$13</f>
        <v>189</v>
      </c>
      <c r="H8" s="316"/>
      <c r="I8" s="317">
        <v>5410.94</v>
      </c>
      <c r="J8" s="318">
        <v>48.00615</v>
      </c>
      <c r="K8" s="319"/>
    </row>
    <row r="9" spans="1:11" ht="15.75">
      <c r="A9" s="60"/>
      <c r="B9" s="62" t="s">
        <v>146</v>
      </c>
      <c r="C9" s="492">
        <f>'[4]форма 2'!$AO$14</f>
        <v>2500</v>
      </c>
      <c r="D9" s="492">
        <f>'[4]форма 2'!$AQ$14</f>
        <v>9</v>
      </c>
      <c r="E9" s="492"/>
      <c r="F9" s="490">
        <f>'[4]форма 2'!$AP$14</f>
        <v>23836.800000000003</v>
      </c>
      <c r="G9" s="490">
        <f>'[4]форма 2'!$AR$14</f>
        <v>113</v>
      </c>
      <c r="H9" s="490"/>
      <c r="I9" s="490">
        <v>1201.1397</v>
      </c>
      <c r="J9" s="490">
        <v>6.0593</v>
      </c>
      <c r="K9" s="490"/>
    </row>
    <row r="10" spans="1:11" ht="24" customHeight="1">
      <c r="A10" s="61"/>
      <c r="B10" s="63" t="s">
        <v>149</v>
      </c>
      <c r="C10" s="493"/>
      <c r="D10" s="493"/>
      <c r="E10" s="493"/>
      <c r="F10" s="491"/>
      <c r="G10" s="491"/>
      <c r="H10" s="491"/>
      <c r="I10" s="491"/>
      <c r="J10" s="491"/>
      <c r="K10" s="491"/>
    </row>
    <row r="11" spans="1:11" ht="24" customHeight="1">
      <c r="A11" s="59" t="s">
        <v>30</v>
      </c>
      <c r="B11" s="57" t="s">
        <v>150</v>
      </c>
      <c r="C11" s="334">
        <f>'[4]форма 2'!$AO$15</f>
        <v>82</v>
      </c>
      <c r="D11" s="332">
        <f>'[4]форма 2'!$AQ$15</f>
        <v>44</v>
      </c>
      <c r="E11" s="334"/>
      <c r="F11" s="318">
        <f>'[4]форма 2'!$AP$15</f>
        <v>4114.9800000000005</v>
      </c>
      <c r="G11" s="318">
        <f>'[4]форма 2'!$AR$15</f>
        <v>3692</v>
      </c>
      <c r="H11" s="318"/>
      <c r="I11" s="318">
        <v>10971.617</v>
      </c>
      <c r="J11" s="321">
        <v>4577.574</v>
      </c>
      <c r="K11" s="320"/>
    </row>
    <row r="12" spans="1:11" ht="15.75">
      <c r="A12" s="60"/>
      <c r="B12" s="62" t="s">
        <v>146</v>
      </c>
      <c r="C12" s="332">
        <f>'[4]форма 2'!$AO$16</f>
        <v>23</v>
      </c>
      <c r="D12" s="332">
        <f>'[4]форма 2'!$AQ$16</f>
        <v>12</v>
      </c>
      <c r="E12" s="332"/>
      <c r="F12" s="316">
        <f>'[4]форма 2'!$AP$16</f>
        <v>1540.18</v>
      </c>
      <c r="G12" s="316">
        <f>'[4]форма 2'!$AR$16</f>
        <v>1173</v>
      </c>
      <c r="H12" s="316"/>
      <c r="I12" s="322"/>
      <c r="J12" s="323"/>
      <c r="K12" s="323"/>
    </row>
    <row r="13" spans="1:11" ht="24" customHeight="1">
      <c r="A13" s="61"/>
      <c r="B13" s="63" t="s">
        <v>151</v>
      </c>
      <c r="C13" s="333"/>
      <c r="D13" s="333"/>
      <c r="E13" s="333"/>
      <c r="F13" s="320"/>
      <c r="G13" s="320"/>
      <c r="H13" s="320"/>
      <c r="I13" s="320"/>
      <c r="J13" s="320"/>
      <c r="K13" s="320"/>
    </row>
    <row r="14" spans="1:11" ht="24" customHeight="1">
      <c r="A14" s="59" t="s">
        <v>84</v>
      </c>
      <c r="B14" s="57" t="s">
        <v>152</v>
      </c>
      <c r="C14" s="332">
        <f>'[4]форма 2'!$AO$18</f>
        <v>7</v>
      </c>
      <c r="D14" s="332">
        <f>'[4]форма 2'!$AQ$18</f>
        <v>3</v>
      </c>
      <c r="E14" s="332"/>
      <c r="F14" s="316">
        <f>'[4]форма 2'!$AP$18</f>
        <v>2516</v>
      </c>
      <c r="G14" s="316">
        <f>'[4]форма 2'!$AR$18</f>
        <v>1364</v>
      </c>
      <c r="H14" s="316"/>
      <c r="I14" s="318">
        <v>119.394</v>
      </c>
      <c r="J14" s="321">
        <v>12725.153</v>
      </c>
      <c r="K14" s="321"/>
    </row>
    <row r="15" spans="1:11" ht="15.75">
      <c r="A15" s="60"/>
      <c r="B15" s="62" t="s">
        <v>146</v>
      </c>
      <c r="C15" s="335"/>
      <c r="D15" s="335"/>
      <c r="E15" s="335"/>
      <c r="F15" s="322"/>
      <c r="G15" s="322"/>
      <c r="H15" s="322"/>
      <c r="I15" s="324"/>
      <c r="J15" s="322"/>
      <c r="K15" s="325"/>
    </row>
    <row r="16" spans="1:11" ht="24" customHeight="1">
      <c r="A16" s="61"/>
      <c r="B16" s="63" t="s">
        <v>153</v>
      </c>
      <c r="C16" s="333"/>
      <c r="D16" s="333"/>
      <c r="E16" s="333"/>
      <c r="F16" s="320"/>
      <c r="G16" s="320"/>
      <c r="H16" s="320"/>
      <c r="I16" s="326"/>
      <c r="J16" s="320"/>
      <c r="K16" s="327"/>
    </row>
    <row r="17" spans="1:11" ht="15.75">
      <c r="A17" s="59" t="s">
        <v>85</v>
      </c>
      <c r="B17" s="57" t="s">
        <v>154</v>
      </c>
      <c r="C17" s="333">
        <v>1</v>
      </c>
      <c r="D17" s="333">
        <f>'[4]форма 2'!$AQ$19</f>
        <v>1</v>
      </c>
      <c r="E17" s="333">
        <v>1</v>
      </c>
      <c r="F17" s="320">
        <f>'[4]форма 2'!$AP$19</f>
        <v>734</v>
      </c>
      <c r="G17" s="320">
        <f>'[4]форма 2'!$AR$19</f>
        <v>1200</v>
      </c>
      <c r="H17" s="320">
        <f>'[4]форма 2'!$AT$19</f>
        <v>10000</v>
      </c>
      <c r="I17" s="328">
        <v>10653.925</v>
      </c>
      <c r="J17" s="318">
        <v>20.352</v>
      </c>
      <c r="K17" s="321">
        <v>74.3</v>
      </c>
    </row>
    <row r="18" spans="1:11" ht="15.75">
      <c r="A18" s="60"/>
      <c r="B18" s="62" t="s">
        <v>146</v>
      </c>
      <c r="C18" s="335"/>
      <c r="D18" s="335"/>
      <c r="E18" s="335"/>
      <c r="F18" s="322"/>
      <c r="G18" s="329"/>
      <c r="H18" s="322"/>
      <c r="I18" s="329"/>
      <c r="J18" s="322"/>
      <c r="K18" s="325"/>
    </row>
    <row r="19" spans="1:11" ht="24" customHeight="1">
      <c r="A19" s="61"/>
      <c r="B19" s="63" t="s">
        <v>153</v>
      </c>
      <c r="C19" s="333"/>
      <c r="D19" s="333"/>
      <c r="E19" s="333"/>
      <c r="F19" s="320"/>
      <c r="G19" s="326"/>
      <c r="H19" s="320"/>
      <c r="I19" s="326"/>
      <c r="J19" s="320"/>
      <c r="K19" s="327"/>
    </row>
    <row r="20" spans="1:11" ht="15.75">
      <c r="A20" s="59" t="s">
        <v>86</v>
      </c>
      <c r="B20" s="57" t="s">
        <v>155</v>
      </c>
      <c r="C20" s="334"/>
      <c r="D20" s="334"/>
      <c r="E20" s="334"/>
      <c r="F20" s="318"/>
      <c r="G20" s="328"/>
      <c r="H20" s="318"/>
      <c r="I20" s="328"/>
      <c r="J20" s="318"/>
      <c r="K20" s="321"/>
    </row>
    <row r="21" spans="1:11" ht="15.75">
      <c r="A21" s="60"/>
      <c r="B21" s="62" t="s">
        <v>146</v>
      </c>
      <c r="C21" s="332"/>
      <c r="D21" s="332"/>
      <c r="E21" s="332"/>
      <c r="F21" s="316"/>
      <c r="G21" s="330"/>
      <c r="H21" s="316"/>
      <c r="I21" s="330"/>
      <c r="J21" s="316"/>
      <c r="K21" s="331"/>
    </row>
    <row r="22" spans="1:11" ht="24" customHeight="1">
      <c r="A22" s="61"/>
      <c r="B22" s="63" t="s">
        <v>153</v>
      </c>
      <c r="C22" s="333"/>
      <c r="D22" s="333"/>
      <c r="E22" s="333"/>
      <c r="F22" s="320"/>
      <c r="G22" s="326"/>
      <c r="H22" s="320"/>
      <c r="I22" s="326"/>
      <c r="J22" s="320"/>
      <c r="K22" s="327"/>
    </row>
    <row r="23" spans="1:11" ht="15.75">
      <c r="A23" s="25" t="s">
        <v>87</v>
      </c>
      <c r="B23" s="57" t="s">
        <v>156</v>
      </c>
      <c r="C23" s="334"/>
      <c r="D23" s="334">
        <f>'[4]форма 2'!$AQ$20</f>
        <v>1</v>
      </c>
      <c r="E23" s="334"/>
      <c r="F23" s="318"/>
      <c r="G23" s="328">
        <f>'[4]форма 2'!$AR$20</f>
        <v>15000</v>
      </c>
      <c r="H23" s="318"/>
      <c r="I23" s="328"/>
      <c r="J23" s="318">
        <v>3170.184</v>
      </c>
      <c r="K23" s="321"/>
    </row>
    <row r="26" spans="1:11" ht="12.75">
      <c r="A26" s="352" t="s">
        <v>157</v>
      </c>
      <c r="B26" s="496" t="s">
        <v>159</v>
      </c>
      <c r="C26" s="496"/>
      <c r="D26" s="496"/>
      <c r="E26" s="496"/>
      <c r="F26" s="496"/>
      <c r="G26" s="496"/>
      <c r="H26" s="496"/>
      <c r="I26" s="496"/>
      <c r="J26" s="496"/>
      <c r="K26" s="496"/>
    </row>
    <row r="27" spans="1:11" ht="98.25" customHeight="1">
      <c r="A27" s="352" t="s">
        <v>158</v>
      </c>
      <c r="B27" s="494" t="s">
        <v>160</v>
      </c>
      <c r="C27" s="494"/>
      <c r="D27" s="494"/>
      <c r="E27" s="494"/>
      <c r="F27" s="494"/>
      <c r="G27" s="494"/>
      <c r="H27" s="494"/>
      <c r="I27" s="494"/>
      <c r="J27" s="494"/>
      <c r="K27" s="494"/>
    </row>
    <row r="28" spans="1:11" ht="12.75">
      <c r="A28" s="352" t="s">
        <v>193</v>
      </c>
      <c r="B28" s="494" t="s">
        <v>310</v>
      </c>
      <c r="C28" s="494"/>
      <c r="D28" s="494"/>
      <c r="E28" s="494"/>
      <c r="F28" s="494"/>
      <c r="G28" s="494"/>
      <c r="H28" s="494"/>
      <c r="I28" s="494"/>
      <c r="J28" s="494"/>
      <c r="K28" s="494"/>
    </row>
    <row r="29" ht="23.25" customHeight="1"/>
    <row r="30" spans="1:11" ht="50.25" customHeight="1">
      <c r="A30" s="485" t="s">
        <v>322</v>
      </c>
      <c r="B30" s="486"/>
      <c r="K30" s="349" t="s">
        <v>320</v>
      </c>
    </row>
  </sheetData>
  <sheetProtection/>
  <mergeCells count="20">
    <mergeCell ref="A30:B30"/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  <mergeCell ref="I9:I10"/>
    <mergeCell ref="J9:J10"/>
    <mergeCell ref="K9:K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31"/>
  <sheetViews>
    <sheetView view="pageBreakPreview" zoomScale="80" zoomScaleSheetLayoutView="80" zoomScalePageLayoutView="0" workbookViewId="0" topLeftCell="A1">
      <selection activeCell="B4" sqref="B4:H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437" t="s">
        <v>210</v>
      </c>
      <c r="G1" s="437"/>
      <c r="H1" s="437"/>
      <c r="I1" s="53"/>
    </row>
    <row r="2" spans="6:9" ht="55.5" customHeight="1">
      <c r="F2" s="53"/>
      <c r="G2" s="437" t="s">
        <v>89</v>
      </c>
      <c r="H2" s="437"/>
      <c r="I2" s="53"/>
    </row>
    <row r="3" spans="2:8" ht="12.75">
      <c r="B3" s="17"/>
      <c r="C3" s="17"/>
      <c r="D3" s="17"/>
      <c r="E3" s="17"/>
      <c r="F3" s="17"/>
      <c r="G3" s="17"/>
      <c r="H3" s="17"/>
    </row>
    <row r="4" spans="2:8" ht="77.25" customHeight="1">
      <c r="B4" s="484" t="s">
        <v>194</v>
      </c>
      <c r="C4" s="484"/>
      <c r="D4" s="484"/>
      <c r="E4" s="484"/>
      <c r="F4" s="484"/>
      <c r="G4" s="484"/>
      <c r="H4" s="484"/>
    </row>
    <row r="5" spans="2:8" ht="15.75">
      <c r="B5" s="58"/>
      <c r="C5" s="58"/>
      <c r="D5" s="58"/>
      <c r="E5" s="58"/>
      <c r="F5" s="58"/>
      <c r="G5" s="58"/>
      <c r="H5" s="58"/>
    </row>
    <row r="6" spans="1:8" ht="34.5" customHeight="1">
      <c r="A6" s="495" t="s">
        <v>139</v>
      </c>
      <c r="B6" s="495"/>
      <c r="C6" s="495" t="s">
        <v>161</v>
      </c>
      <c r="D6" s="495"/>
      <c r="E6" s="495"/>
      <c r="F6" s="495" t="s">
        <v>141</v>
      </c>
      <c r="G6" s="495"/>
      <c r="H6" s="495"/>
    </row>
    <row r="7" spans="1:8" ht="46.5" customHeight="1">
      <c r="A7" s="495"/>
      <c r="B7" s="495"/>
      <c r="C7" s="29" t="s">
        <v>37</v>
      </c>
      <c r="D7" s="29" t="s">
        <v>143</v>
      </c>
      <c r="E7" s="29" t="s">
        <v>144</v>
      </c>
      <c r="F7" s="29" t="s">
        <v>37</v>
      </c>
      <c r="G7" s="29" t="s">
        <v>143</v>
      </c>
      <c r="H7" s="29" t="s">
        <v>144</v>
      </c>
    </row>
    <row r="8" spans="1:8" ht="48.75" customHeight="1">
      <c r="A8" s="59" t="s">
        <v>83</v>
      </c>
      <c r="B8" s="57" t="s">
        <v>145</v>
      </c>
      <c r="C8" s="309">
        <f>'[4]форма 2'!$J$13</f>
        <v>3719</v>
      </c>
      <c r="D8" s="309">
        <f>'[4]форма 2'!$L$13</f>
        <v>33</v>
      </c>
      <c r="E8" s="310">
        <v>0</v>
      </c>
      <c r="F8" s="316">
        <f>'[4]форма 2'!$K$13</f>
        <v>34580.07</v>
      </c>
      <c r="G8" s="316">
        <f>'[4]форма 2'!$M$13</f>
        <v>356.25</v>
      </c>
      <c r="H8" s="316">
        <v>0</v>
      </c>
    </row>
    <row r="9" spans="1:8" ht="15.75">
      <c r="A9" s="60"/>
      <c r="B9" s="62" t="s">
        <v>146</v>
      </c>
      <c r="C9" s="503">
        <f>'[4]форма 2'!$J$14</f>
        <v>3204</v>
      </c>
      <c r="D9" s="503">
        <f>'[4]форма 2'!$L$14</f>
        <v>15</v>
      </c>
      <c r="E9" s="503">
        <v>0</v>
      </c>
      <c r="F9" s="490">
        <f>'[4]форма 2'!$K$14</f>
        <v>30408.8</v>
      </c>
      <c r="G9" s="490">
        <f>'[4]форма 2'!$M$14</f>
        <v>203</v>
      </c>
      <c r="H9" s="490">
        <v>0</v>
      </c>
    </row>
    <row r="10" spans="1:8" ht="24" customHeight="1">
      <c r="A10" s="61"/>
      <c r="B10" s="63" t="s">
        <v>149</v>
      </c>
      <c r="C10" s="500"/>
      <c r="D10" s="500"/>
      <c r="E10" s="500"/>
      <c r="F10" s="491"/>
      <c r="G10" s="491"/>
      <c r="H10" s="491"/>
    </row>
    <row r="11" spans="1:8" ht="24" customHeight="1">
      <c r="A11" s="59" t="s">
        <v>30</v>
      </c>
      <c r="B11" s="57" t="s">
        <v>150</v>
      </c>
      <c r="C11" s="336">
        <f>'[4]форма 2'!$J$15</f>
        <v>265</v>
      </c>
      <c r="D11" s="336">
        <f>'[4]форма 2'!$L$15</f>
        <v>124</v>
      </c>
      <c r="E11" s="311"/>
      <c r="F11" s="319">
        <f>'[4]форма 2'!$K$15</f>
        <v>13886.94</v>
      </c>
      <c r="G11" s="319">
        <f>'[4]форма 2'!$M$15</f>
        <v>9505.95</v>
      </c>
      <c r="H11" s="319">
        <f>'[4]форма 2'!$O$15</f>
        <v>0</v>
      </c>
    </row>
    <row r="12" spans="1:8" ht="15.75">
      <c r="A12" s="60"/>
      <c r="B12" s="62" t="s">
        <v>146</v>
      </c>
      <c r="C12" s="309">
        <f>'[4]форма 2'!$J$16</f>
        <v>152</v>
      </c>
      <c r="D12" s="309">
        <f>'[4]форма 2'!$L$16</f>
        <v>64</v>
      </c>
      <c r="E12" s="310"/>
      <c r="F12" s="316">
        <f>'[4]форма 2'!$K$16</f>
        <v>8907.28</v>
      </c>
      <c r="G12" s="316">
        <f>'[4]форма 2'!$M$16</f>
        <v>5211.52</v>
      </c>
      <c r="H12" s="316"/>
    </row>
    <row r="13" spans="1:8" ht="24" customHeight="1">
      <c r="A13" s="61"/>
      <c r="B13" s="63" t="s">
        <v>151</v>
      </c>
      <c r="C13" s="312"/>
      <c r="D13" s="312"/>
      <c r="E13" s="312"/>
      <c r="F13" s="320"/>
      <c r="G13" s="320"/>
      <c r="H13" s="320"/>
    </row>
    <row r="14" spans="1:8" ht="24" customHeight="1">
      <c r="A14" s="59" t="s">
        <v>84</v>
      </c>
      <c r="B14" s="57" t="s">
        <v>152</v>
      </c>
      <c r="C14" s="315">
        <f>'[4]форма 2'!$J$18</f>
        <v>38</v>
      </c>
      <c r="D14" s="315">
        <f>'[4]форма 2'!$L$18</f>
        <v>47</v>
      </c>
      <c r="E14" s="312"/>
      <c r="F14" s="320">
        <f>'[4]форма 2'!$K$18</f>
        <v>12660</v>
      </c>
      <c r="G14" s="320">
        <f>'[4]форма 2'!$M$18</f>
        <v>16370.3</v>
      </c>
      <c r="H14" s="320"/>
    </row>
    <row r="15" spans="1:8" ht="15.75">
      <c r="A15" s="60"/>
      <c r="B15" s="62" t="s">
        <v>146</v>
      </c>
      <c r="C15" s="501"/>
      <c r="D15" s="501"/>
      <c r="E15" s="501"/>
      <c r="F15" s="497"/>
      <c r="G15" s="497"/>
      <c r="H15" s="497"/>
    </row>
    <row r="16" spans="1:8" ht="24" customHeight="1">
      <c r="A16" s="61"/>
      <c r="B16" s="63" t="s">
        <v>153</v>
      </c>
      <c r="C16" s="502"/>
      <c r="D16" s="502"/>
      <c r="E16" s="502"/>
      <c r="F16" s="498"/>
      <c r="G16" s="498"/>
      <c r="H16" s="498"/>
    </row>
    <row r="17" spans="1:8" ht="15.75">
      <c r="A17" s="59" t="s">
        <v>85</v>
      </c>
      <c r="B17" s="57" t="s">
        <v>154</v>
      </c>
      <c r="C17" s="309">
        <f>'[4]форма 2'!$J$19</f>
        <v>2</v>
      </c>
      <c r="D17" s="309">
        <f>'[4]форма 2'!$L$19</f>
        <v>20</v>
      </c>
      <c r="E17" s="309">
        <f>'[4]форма 2'!$N$19</f>
        <v>4</v>
      </c>
      <c r="F17" s="316">
        <f>'[4]форма 2'!$K$19</f>
        <v>1468</v>
      </c>
      <c r="G17" s="316">
        <f>'[4]форма 2'!$M$19</f>
        <v>65680</v>
      </c>
      <c r="H17" s="316">
        <f>'[4]форма 2'!$O$19</f>
        <v>125130.8</v>
      </c>
    </row>
    <row r="18" spans="1:8" ht="15.75">
      <c r="A18" s="60"/>
      <c r="B18" s="62" t="s">
        <v>146</v>
      </c>
      <c r="C18" s="499"/>
      <c r="D18" s="499"/>
      <c r="E18" s="499"/>
      <c r="F18" s="490"/>
      <c r="G18" s="490"/>
      <c r="H18" s="490"/>
    </row>
    <row r="19" spans="1:8" ht="24" customHeight="1">
      <c r="A19" s="61"/>
      <c r="B19" s="63" t="s">
        <v>153</v>
      </c>
      <c r="C19" s="500"/>
      <c r="D19" s="500"/>
      <c r="E19" s="500"/>
      <c r="F19" s="491"/>
      <c r="G19" s="491"/>
      <c r="H19" s="491"/>
    </row>
    <row r="20" spans="1:8" ht="15.75">
      <c r="A20" s="59" t="s">
        <v>86</v>
      </c>
      <c r="B20" s="57" t="s">
        <v>155</v>
      </c>
      <c r="C20" s="312"/>
      <c r="D20" s="312"/>
      <c r="E20" s="312"/>
      <c r="F20" s="320"/>
      <c r="G20" s="320"/>
      <c r="H20" s="320"/>
    </row>
    <row r="21" spans="1:8" ht="15.75">
      <c r="A21" s="60"/>
      <c r="B21" s="62" t="s">
        <v>146</v>
      </c>
      <c r="C21" s="501"/>
      <c r="D21" s="501"/>
      <c r="E21" s="501"/>
      <c r="F21" s="497"/>
      <c r="G21" s="497"/>
      <c r="H21" s="497"/>
    </row>
    <row r="22" spans="1:8" ht="24" customHeight="1">
      <c r="A22" s="61"/>
      <c r="B22" s="63" t="s">
        <v>153</v>
      </c>
      <c r="C22" s="502"/>
      <c r="D22" s="502"/>
      <c r="E22" s="502"/>
      <c r="F22" s="498"/>
      <c r="G22" s="498"/>
      <c r="H22" s="498"/>
    </row>
    <row r="23" spans="1:8" ht="15.75">
      <c r="A23" s="25" t="s">
        <v>87</v>
      </c>
      <c r="B23" s="57" t="s">
        <v>156</v>
      </c>
      <c r="C23" s="314"/>
      <c r="D23" s="313">
        <f>'[4]форма 2'!$L$20</f>
        <v>3</v>
      </c>
      <c r="E23" s="314"/>
      <c r="F23" s="318"/>
      <c r="G23" s="328">
        <f>'[4]форма 2'!$M$20</f>
        <v>45000</v>
      </c>
      <c r="H23" s="318"/>
    </row>
    <row r="26" spans="1:8" ht="12.75">
      <c r="A26" s="352" t="s">
        <v>157</v>
      </c>
      <c r="B26" s="496" t="s">
        <v>159</v>
      </c>
      <c r="C26" s="496"/>
      <c r="D26" s="496"/>
      <c r="E26" s="496"/>
      <c r="F26" s="496"/>
      <c r="G26" s="496"/>
      <c r="H26" s="496"/>
    </row>
    <row r="27" spans="1:8" ht="98.25" customHeight="1">
      <c r="A27" s="352" t="s">
        <v>158</v>
      </c>
      <c r="B27" s="494" t="s">
        <v>160</v>
      </c>
      <c r="C27" s="494"/>
      <c r="D27" s="494"/>
      <c r="E27" s="494"/>
      <c r="F27" s="494"/>
      <c r="G27" s="494"/>
      <c r="H27" s="494"/>
    </row>
    <row r="28" spans="1:8" ht="12.75">
      <c r="A28" s="352" t="s">
        <v>193</v>
      </c>
      <c r="B28" s="494" t="s">
        <v>310</v>
      </c>
      <c r="C28" s="494"/>
      <c r="D28" s="494"/>
      <c r="E28" s="494"/>
      <c r="F28" s="494"/>
      <c r="G28" s="494"/>
      <c r="H28" s="494"/>
    </row>
    <row r="31" spans="1:9" ht="48.75" customHeight="1">
      <c r="A31" s="485" t="s">
        <v>322</v>
      </c>
      <c r="B31" s="486"/>
      <c r="G31" s="504" t="s">
        <v>320</v>
      </c>
      <c r="H31" s="504"/>
      <c r="I31" s="349"/>
    </row>
  </sheetData>
  <sheetProtection/>
  <mergeCells count="35">
    <mergeCell ref="A31:B31"/>
    <mergeCell ref="G31:H31"/>
    <mergeCell ref="B28:H28"/>
    <mergeCell ref="B26:H26"/>
    <mergeCell ref="B27:H27"/>
    <mergeCell ref="F1:H1"/>
    <mergeCell ref="G2:H2"/>
    <mergeCell ref="B4:H4"/>
    <mergeCell ref="A6:B7"/>
    <mergeCell ref="C6:E6"/>
    <mergeCell ref="F6:H6"/>
    <mergeCell ref="C18:C19"/>
    <mergeCell ref="H9:H10"/>
    <mergeCell ref="C15:C16"/>
    <mergeCell ref="D15:D16"/>
    <mergeCell ref="E15:E16"/>
    <mergeCell ref="F15:F16"/>
    <mergeCell ref="G15:G16"/>
    <mergeCell ref="H15:H16"/>
    <mergeCell ref="C21:C22"/>
    <mergeCell ref="D21:D22"/>
    <mergeCell ref="E21:E22"/>
    <mergeCell ref="F21:F22"/>
    <mergeCell ref="G21:G22"/>
    <mergeCell ref="C9:C10"/>
    <mergeCell ref="D9:D10"/>
    <mergeCell ref="E9:E10"/>
    <mergeCell ref="F9:F10"/>
    <mergeCell ref="G9:G10"/>
    <mergeCell ref="H21:H22"/>
    <mergeCell ref="D18:D19"/>
    <mergeCell ref="E18:E19"/>
    <mergeCell ref="F18:F19"/>
    <mergeCell ref="G18:G19"/>
    <mergeCell ref="H18:H19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6"/>
  <sheetViews>
    <sheetView zoomScalePageLayoutView="0" workbookViewId="0" topLeftCell="F76">
      <selection activeCell="O106" sqref="O106"/>
    </sheetView>
  </sheetViews>
  <sheetFormatPr defaultColWidth="9.00390625" defaultRowHeight="12.75"/>
  <cols>
    <col min="1" max="1" width="35.875" style="0" customWidth="1"/>
    <col min="2" max="2" width="10.125" style="0" customWidth="1"/>
    <col min="3" max="3" width="12.625" style="0" customWidth="1"/>
    <col min="4" max="4" width="11.00390625" style="0" customWidth="1"/>
    <col min="5" max="5" width="12.75390625" style="0" customWidth="1"/>
    <col min="6" max="6" width="26.625" style="0" customWidth="1"/>
    <col min="7" max="8" width="13.75390625" style="0" customWidth="1"/>
    <col min="9" max="9" width="12.25390625" style="0" customWidth="1"/>
    <col min="10" max="10" width="22.75390625" style="0" customWidth="1"/>
    <col min="11" max="12" width="12.25390625" style="0" customWidth="1"/>
    <col min="13" max="13" width="11.625" style="0" customWidth="1"/>
    <col min="14" max="14" width="20.00390625" style="0" customWidth="1"/>
    <col min="15" max="15" width="16.00390625" style="0" customWidth="1"/>
    <col min="16" max="16" width="18.875" style="0" customWidth="1"/>
    <col min="17" max="17" width="17.375" style="0" customWidth="1"/>
    <col min="18" max="18" width="16.75390625" style="0" customWidth="1"/>
    <col min="19" max="20" width="16.75390625" style="0" hidden="1" customWidth="1"/>
    <col min="21" max="23" width="16.75390625" style="0" customWidth="1"/>
  </cols>
  <sheetData>
    <row r="1" spans="1:23" ht="15.75" customHeight="1">
      <c r="A1" s="124"/>
      <c r="B1" s="95">
        <v>2014</v>
      </c>
      <c r="C1" s="95">
        <v>2015</v>
      </c>
      <c r="D1" s="95">
        <v>2016</v>
      </c>
      <c r="E1" s="95"/>
      <c r="F1" s="505" t="s">
        <v>246</v>
      </c>
      <c r="G1" s="505"/>
      <c r="H1" s="505"/>
      <c r="I1" s="505"/>
      <c r="J1" s="505"/>
      <c r="K1" s="505"/>
      <c r="L1" s="50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4" ht="14.25">
      <c r="A2" t="s">
        <v>247</v>
      </c>
      <c r="B2" s="125">
        <f>C11+C36+C40+C41+C49+C50</f>
        <v>37.423</v>
      </c>
      <c r="C2" s="125">
        <f>D11+D36+D40+D41+D49+D50</f>
        <v>57.04499999999999</v>
      </c>
      <c r="D2" s="125">
        <f>E11+E36+E40+E41+E49+E50</f>
        <v>58.3455</v>
      </c>
    </row>
    <row r="3" spans="1:4" ht="14.25">
      <c r="A3" t="s">
        <v>248</v>
      </c>
      <c r="B3" s="126">
        <f>C16+C61+C62+C68+C69+C77+C78</f>
        <v>7.667999999999999</v>
      </c>
      <c r="C3" s="126">
        <f>D16+D61+D62+D68+D69+D77+D78</f>
        <v>36.539</v>
      </c>
      <c r="D3" s="126">
        <f>E16+E61+E62+E68+E69+E77+E78</f>
        <v>0.5509999999999999</v>
      </c>
    </row>
    <row r="4" spans="1:4" ht="14.25">
      <c r="A4" t="s">
        <v>249</v>
      </c>
      <c r="B4" s="126">
        <f>C86+C88</f>
        <v>228</v>
      </c>
      <c r="C4" s="126">
        <f>D86+D88</f>
        <v>1249.49</v>
      </c>
      <c r="D4" s="126">
        <f>E86+E88</f>
        <v>11568.3</v>
      </c>
    </row>
    <row r="5" spans="1:24" ht="14.25">
      <c r="A5" t="s">
        <v>250</v>
      </c>
      <c r="B5" s="126">
        <f>C21+C91+C94+C99+C105</f>
        <v>4203.1</v>
      </c>
      <c r="C5" s="126">
        <f>D21+D91+D94+D99+D105</f>
        <v>6090.2</v>
      </c>
      <c r="D5" s="126">
        <f>E21+E91+E94+E99+E105</f>
        <v>5520</v>
      </c>
      <c r="X5" t="s">
        <v>251</v>
      </c>
    </row>
    <row r="6" spans="1:26" ht="51.75" customHeight="1">
      <c r="A6" s="26"/>
      <c r="B6" s="26"/>
      <c r="C6" s="506" t="s">
        <v>252</v>
      </c>
      <c r="D6" s="506"/>
      <c r="E6" s="506"/>
      <c r="F6" s="127"/>
      <c r="G6" s="507" t="s">
        <v>253</v>
      </c>
      <c r="H6" s="508"/>
      <c r="I6" s="509"/>
      <c r="J6" s="127"/>
      <c r="K6" s="510" t="s">
        <v>254</v>
      </c>
      <c r="L6" s="511"/>
      <c r="M6" s="512"/>
      <c r="N6" s="26"/>
      <c r="O6" s="26"/>
      <c r="P6" s="129"/>
      <c r="Q6" s="510" t="s">
        <v>255</v>
      </c>
      <c r="R6" s="512"/>
      <c r="S6" s="130"/>
      <c r="T6" s="130"/>
      <c r="U6" s="510" t="s">
        <v>256</v>
      </c>
      <c r="V6" s="512"/>
      <c r="W6" s="130"/>
      <c r="X6" t="s">
        <v>247</v>
      </c>
      <c r="Y6" t="s">
        <v>248</v>
      </c>
      <c r="Z6" t="s">
        <v>257</v>
      </c>
    </row>
    <row r="7" spans="1:26" ht="58.5" customHeight="1">
      <c r="A7" s="128"/>
      <c r="B7" s="128"/>
      <c r="C7" s="131">
        <v>2014</v>
      </c>
      <c r="D7" s="131">
        <v>2015</v>
      </c>
      <c r="E7" s="131">
        <v>2016</v>
      </c>
      <c r="F7" s="132" t="s">
        <v>258</v>
      </c>
      <c r="G7" s="131">
        <v>2014</v>
      </c>
      <c r="H7" s="131">
        <v>2015</v>
      </c>
      <c r="I7" s="131">
        <v>2016</v>
      </c>
      <c r="J7" s="132" t="s">
        <v>259</v>
      </c>
      <c r="K7" s="131">
        <v>2014</v>
      </c>
      <c r="L7" s="131">
        <v>2015</v>
      </c>
      <c r="M7" s="131">
        <v>2016</v>
      </c>
      <c r="N7" s="132" t="s">
        <v>260</v>
      </c>
      <c r="O7" s="133" t="s">
        <v>261</v>
      </c>
      <c r="P7" s="134" t="s">
        <v>262</v>
      </c>
      <c r="Q7" s="135" t="s">
        <v>261</v>
      </c>
      <c r="R7" s="135" t="s">
        <v>262</v>
      </c>
      <c r="S7" s="133" t="s">
        <v>261</v>
      </c>
      <c r="T7" s="134" t="s">
        <v>262</v>
      </c>
      <c r="U7" s="135" t="s">
        <v>261</v>
      </c>
      <c r="V7" s="135" t="s">
        <v>262</v>
      </c>
      <c r="W7" s="136"/>
      <c r="X7">
        <v>4.4</v>
      </c>
      <c r="Y7">
        <v>5.52</v>
      </c>
      <c r="Z7">
        <v>6.87</v>
      </c>
    </row>
    <row r="8" spans="1:23" ht="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  <c r="Q8" s="26"/>
      <c r="R8" s="26"/>
      <c r="S8" s="17"/>
      <c r="T8" s="17"/>
      <c r="U8" s="26"/>
      <c r="V8" s="26"/>
      <c r="W8" s="17"/>
    </row>
    <row r="9" spans="1:23" ht="22.5">
      <c r="A9" s="137"/>
      <c r="B9" s="137"/>
      <c r="C9" s="137"/>
      <c r="D9" s="137"/>
      <c r="E9" s="137"/>
      <c r="F9" s="513" t="s">
        <v>263</v>
      </c>
      <c r="G9" s="513"/>
      <c r="H9" s="513"/>
      <c r="I9" s="513"/>
      <c r="J9" s="513"/>
      <c r="K9" s="513"/>
      <c r="L9" s="513"/>
      <c r="M9" s="513"/>
      <c r="N9" s="513"/>
      <c r="O9" s="137"/>
      <c r="P9" s="138"/>
      <c r="Q9" s="26"/>
      <c r="R9" s="26"/>
      <c r="S9" s="17"/>
      <c r="T9" s="17"/>
      <c r="U9" s="26"/>
      <c r="V9" s="26"/>
      <c r="W9" s="17"/>
    </row>
    <row r="10" spans="1:23" ht="15">
      <c r="A10" s="139" t="s">
        <v>247</v>
      </c>
      <c r="B10" s="140"/>
      <c r="D10" s="140"/>
      <c r="E10" s="14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26"/>
      <c r="R10" s="26"/>
      <c r="S10" s="17"/>
      <c r="T10" s="17"/>
      <c r="V10" s="141"/>
      <c r="W10" s="142"/>
    </row>
    <row r="11" spans="1:23" ht="15">
      <c r="A11" s="143" t="s">
        <v>264</v>
      </c>
      <c r="B11" s="143"/>
      <c r="C11" s="144">
        <f>SUM(C12:C14)</f>
        <v>33.20600000000001</v>
      </c>
      <c r="D11" s="144">
        <f>SUM(D12:D14)</f>
        <v>56.42899999999999</v>
      </c>
      <c r="E11" s="144">
        <f>SUM(E12:E14)</f>
        <v>54.2655</v>
      </c>
      <c r="F11" s="144">
        <f>SUM(C11:E11)/3</f>
        <v>47.966833333333334</v>
      </c>
      <c r="G11" s="144">
        <f>SUM(G12:G14)</f>
        <v>2595.36</v>
      </c>
      <c r="H11" s="144">
        <f>SUM(H12:H14)</f>
        <v>4885.46</v>
      </c>
      <c r="I11" s="144">
        <f>SUM(I12:I14)</f>
        <v>4233.24</v>
      </c>
      <c r="J11" s="144">
        <f>SUM(G11:I11)/3</f>
        <v>3904.6866666666665</v>
      </c>
      <c r="K11" s="144">
        <f>SUM(K12:K14)</f>
        <v>24330</v>
      </c>
      <c r="L11" s="144">
        <f>SUM(L12:L14)</f>
        <v>45104.92844</v>
      </c>
      <c r="M11" s="144">
        <f>SUM(M12:M14)</f>
        <v>49373.63726000002</v>
      </c>
      <c r="N11" s="144">
        <f>SUM(K11:M11)/3</f>
        <v>39602.85523333334</v>
      </c>
      <c r="O11" s="144">
        <f>N11/F11*1000</f>
        <v>825629.9714038522</v>
      </c>
      <c r="P11" s="145">
        <f>N11/J11*1000</f>
        <v>10142.390059467003</v>
      </c>
      <c r="Q11" s="146">
        <f>148095*X7</f>
        <v>651618</v>
      </c>
      <c r="R11" s="146">
        <v>944.72</v>
      </c>
      <c r="S11" s="147"/>
      <c r="T11" s="147"/>
      <c r="U11" s="148">
        <f>'[1]Приложение 9 СТС'!$AI$10*X7</f>
        <v>1409640.672</v>
      </c>
      <c r="V11" s="146"/>
      <c r="W11" s="147"/>
    </row>
    <row r="12" spans="1:23" ht="15">
      <c r="A12" s="137" t="s">
        <v>265</v>
      </c>
      <c r="B12" s="137"/>
      <c r="C12" s="149">
        <f>'[2]Приложение 1 _3'!Z10</f>
        <v>10.962</v>
      </c>
      <c r="D12" s="149">
        <f>'[2]Приложение 1 _2'!AC10</f>
        <v>17.054999999999996</v>
      </c>
      <c r="E12" s="149">
        <f>'[2]Приложение 1 _1'!V9</f>
        <v>15.638</v>
      </c>
      <c r="F12" s="149">
        <f>SUM(C12:E12)/3</f>
        <v>14.551666666666664</v>
      </c>
      <c r="G12" s="149">
        <f>'[2]Приложение 1 _3'!AA10</f>
        <v>868</v>
      </c>
      <c r="H12" s="149">
        <f>'[2]Приложение 1 _2'!AD10</f>
        <v>982.2800000000001</v>
      </c>
      <c r="I12" s="149">
        <f>'[2]Приложение 1 _1'!W9</f>
        <v>964.74</v>
      </c>
      <c r="J12" s="149">
        <f>SUM(G12:I12)/3</f>
        <v>938.3400000000001</v>
      </c>
      <c r="K12" s="149">
        <f>'[2]Приложение 1 _3'!AB10</f>
        <v>9364</v>
      </c>
      <c r="L12" s="149">
        <f>'[2]Приложение 1 _2'!AE10</f>
        <v>13575.35745</v>
      </c>
      <c r="M12" s="149">
        <f>'[2]Приложение 1 _1'!X9</f>
        <v>14017.857109999997</v>
      </c>
      <c r="N12" s="149">
        <f>SUM(K12:M12)/3</f>
        <v>12319.071519999998</v>
      </c>
      <c r="O12" s="149">
        <f>N12/F12*1000</f>
        <v>846574.6090940328</v>
      </c>
      <c r="P12" s="150">
        <f>N12/J12*1000</f>
        <v>13128.57974721316</v>
      </c>
      <c r="Q12" s="146"/>
      <c r="R12" s="146"/>
      <c r="S12" s="147"/>
      <c r="T12" s="147"/>
      <c r="U12" s="146"/>
      <c r="V12" s="146"/>
      <c r="W12" s="147"/>
    </row>
    <row r="13" spans="1:23" ht="15">
      <c r="A13" s="137" t="s">
        <v>266</v>
      </c>
      <c r="B13" s="137"/>
      <c r="C13" s="149">
        <f>'[2]Приложение 1 _3'!Z11</f>
        <v>10.073000000000006</v>
      </c>
      <c r="D13" s="149">
        <f>'[2]Приложение 1 _2'!AC11</f>
        <v>23.171999999999993</v>
      </c>
      <c r="E13" s="149">
        <f>'[2]Приложение 1 _1'!V10</f>
        <v>20.721500000000006</v>
      </c>
      <c r="F13" s="149">
        <f>SUM(C13:E13)/3</f>
        <v>17.988833333333336</v>
      </c>
      <c r="G13" s="149">
        <f>'[2]Приложение 1 _3'!AA11</f>
        <v>923.24</v>
      </c>
      <c r="H13" s="149">
        <f>'[2]Приложение 1 _2'!AD11</f>
        <v>2262.48</v>
      </c>
      <c r="I13" s="149">
        <f>'[2]Приложение 1 _1'!W10</f>
        <v>1919.5</v>
      </c>
      <c r="J13" s="149">
        <f>SUM(G13:I13)/3</f>
        <v>1701.74</v>
      </c>
      <c r="K13" s="149">
        <f>'[2]Приложение 1 _3'!AB11</f>
        <v>6644</v>
      </c>
      <c r="L13" s="149">
        <f>'[2]Приложение 1 _2'!AE11</f>
        <v>20130.227540000004</v>
      </c>
      <c r="M13" s="149">
        <f>'[2]Приложение 1 _1'!X10</f>
        <v>20944.68221000001</v>
      </c>
      <c r="N13" s="149">
        <f>SUM(K13:M13)/3</f>
        <v>15906.303250000004</v>
      </c>
      <c r="O13" s="149">
        <f>N13/F13*1000</f>
        <v>884232.0652627094</v>
      </c>
      <c r="P13" s="150">
        <f>N13/J13*1000</f>
        <v>9347.081957290775</v>
      </c>
      <c r="Q13" s="146"/>
      <c r="R13" s="146"/>
      <c r="S13" s="147"/>
      <c r="T13" s="147"/>
      <c r="U13" s="146"/>
      <c r="V13" s="146"/>
      <c r="W13" s="147"/>
    </row>
    <row r="14" spans="1:23" ht="15">
      <c r="A14" s="137" t="s">
        <v>267</v>
      </c>
      <c r="B14" s="137"/>
      <c r="C14" s="149">
        <f>'[2]Приложение 1 _3'!Z12</f>
        <v>12.171000000000005</v>
      </c>
      <c r="D14" s="149">
        <f>'[2]Приложение 1 _2'!AC12</f>
        <v>16.202</v>
      </c>
      <c r="E14" s="149">
        <f>'[2]Приложение 1 _1'!V11</f>
        <v>17.906000000000002</v>
      </c>
      <c r="F14" s="149">
        <f>SUM(C14:E14)/3</f>
        <v>15.426333333333337</v>
      </c>
      <c r="G14" s="149">
        <f>'[2]Приложение 1 _3'!AA12</f>
        <v>804.12</v>
      </c>
      <c r="H14" s="149">
        <f>'[2]Приложение 1 _2'!AD12</f>
        <v>1640.7</v>
      </c>
      <c r="I14" s="149">
        <f>'[2]Приложение 1 _1'!W11</f>
        <v>1349</v>
      </c>
      <c r="J14" s="149">
        <f>SUM(G14:I14)/3</f>
        <v>1264.6066666666668</v>
      </c>
      <c r="K14" s="149">
        <f>'[2]Приложение 1 _3'!AB12</f>
        <v>8322</v>
      </c>
      <c r="L14" s="149">
        <f>'[2]Приложение 1 _2'!AE12</f>
        <v>11399.343449999998</v>
      </c>
      <c r="M14" s="149">
        <f>'[2]Приложение 1 _1'!X11</f>
        <v>14411.097940000005</v>
      </c>
      <c r="N14" s="149">
        <f>SUM(K14:M14)/3</f>
        <v>11377.480463333335</v>
      </c>
      <c r="O14" s="149">
        <f>N14/F14*1000</f>
        <v>737536.2775773029</v>
      </c>
      <c r="P14" s="150">
        <f>N14/J14*1000</f>
        <v>8996.853142742671</v>
      </c>
      <c r="Q14" s="146"/>
      <c r="R14" s="146"/>
      <c r="S14" s="147"/>
      <c r="T14" s="147"/>
      <c r="U14" s="146"/>
      <c r="V14" s="146"/>
      <c r="W14" s="147"/>
    </row>
    <row r="15" spans="1:23" ht="15">
      <c r="A15" s="139" t="s">
        <v>248</v>
      </c>
      <c r="B15" s="140"/>
      <c r="C15" s="140"/>
      <c r="D15" s="140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8"/>
      <c r="Q15" s="146"/>
      <c r="R15" s="146"/>
      <c r="S15" s="147"/>
      <c r="T15" s="147"/>
      <c r="U15" s="146"/>
      <c r="V15" s="146"/>
      <c r="W15" s="147"/>
    </row>
    <row r="16" spans="1:23" ht="14.25">
      <c r="A16" s="143" t="s">
        <v>264</v>
      </c>
      <c r="B16" s="143"/>
      <c r="C16" s="144">
        <f>SUM(C17:C19)</f>
        <v>6.02</v>
      </c>
      <c r="D16" s="144">
        <f>SUM(D17:D19)</f>
        <v>4.784000000000001</v>
      </c>
      <c r="E16" s="144">
        <f>SUM(E17:E19)</f>
        <v>0.255</v>
      </c>
      <c r="F16" s="144">
        <f>SUM(C16:E16)/3</f>
        <v>3.6863333333333337</v>
      </c>
      <c r="G16" s="144">
        <f>SUM(G17:G19)</f>
        <v>317</v>
      </c>
      <c r="H16" s="144">
        <f>SUM(H17:H19)</f>
        <v>405</v>
      </c>
      <c r="I16" s="144">
        <f>SUM(I17:I19)</f>
        <v>21</v>
      </c>
      <c r="J16" s="144">
        <f>SUM(G16:I16)/3</f>
        <v>247.66666666666666</v>
      </c>
      <c r="K16" s="144">
        <f>SUM(K17:K19)</f>
        <v>4843</v>
      </c>
      <c r="L16" s="144">
        <f>SUM(L17:L19)</f>
        <v>5310.52281</v>
      </c>
      <c r="M16" s="144">
        <f>SUM(M17:M19)</f>
        <v>195.87268</v>
      </c>
      <c r="N16" s="144">
        <f>SUM(K16:M16)/3</f>
        <v>3449.798496666667</v>
      </c>
      <c r="O16" s="144">
        <f>N16/F16*1000</f>
        <v>935834.658649064</v>
      </c>
      <c r="P16" s="145">
        <f>N16/J16*1000</f>
        <v>13929.199851951547</v>
      </c>
      <c r="Q16" s="146">
        <f>227289*Y7</f>
        <v>1254635.2799999998</v>
      </c>
      <c r="R16" s="146">
        <v>41251.64</v>
      </c>
      <c r="S16" s="147"/>
      <c r="T16" s="147"/>
      <c r="U16" s="146">
        <f>'[1]Приложение 9 СТС'!$AI$27*Y7</f>
        <v>2581664.3112</v>
      </c>
      <c r="V16" s="146"/>
      <c r="W16" s="147"/>
    </row>
    <row r="17" spans="1:23" ht="15">
      <c r="A17" s="137" t="s">
        <v>265</v>
      </c>
      <c r="B17" s="137"/>
      <c r="C17" s="149">
        <f>'[2]Приложение 1 _3'!Z15</f>
        <v>0.513</v>
      </c>
      <c r="D17" s="149">
        <f>'[2]Приложение 1 _2'!AC15</f>
        <v>0.105</v>
      </c>
      <c r="E17" s="149">
        <f>'[2]Приложение 1 _1'!V14</f>
        <v>0.22</v>
      </c>
      <c r="F17" s="149">
        <f>SUM(C17:E17)/3</f>
        <v>0.2793333333333333</v>
      </c>
      <c r="G17" s="149">
        <f>'[2]Приложение 1 _3'!AA15</f>
        <v>15</v>
      </c>
      <c r="H17" s="149">
        <f>'[2]Приложение 1 _2'!AD15</f>
        <v>15</v>
      </c>
      <c r="I17" s="149">
        <f>'[2]Приложение 1 _1'!W14</f>
        <v>15</v>
      </c>
      <c r="J17" s="149">
        <f>SUM(G17:I17)/3</f>
        <v>15</v>
      </c>
      <c r="K17" s="149">
        <f>'[2]Приложение 1 _3'!AB15</f>
        <v>501</v>
      </c>
      <c r="L17" s="149">
        <f>'[2]Приложение 1 _2'!AE15</f>
        <v>233.65361</v>
      </c>
      <c r="M17" s="149">
        <f>'[2]Приложение 1 _1'!X14</f>
        <v>127.42538</v>
      </c>
      <c r="N17" s="149">
        <f>SUM(K17:M17)/3</f>
        <v>287.35966333333334</v>
      </c>
      <c r="O17" s="149">
        <f>N17/F17*1000</f>
        <v>1028733.878281623</v>
      </c>
      <c r="P17" s="150">
        <f>N17/J17*1000</f>
        <v>19157.31088888889</v>
      </c>
      <c r="Q17" s="146"/>
      <c r="R17" s="146"/>
      <c r="S17" s="147"/>
      <c r="T17" s="147"/>
      <c r="U17" s="146"/>
      <c r="V17" s="146"/>
      <c r="W17" s="147"/>
    </row>
    <row r="18" spans="1:23" ht="15">
      <c r="A18" s="137" t="s">
        <v>268</v>
      </c>
      <c r="B18" s="137"/>
      <c r="C18" s="149">
        <f>'[2]Приложение 1 _3'!Z16</f>
        <v>3.0149999999999997</v>
      </c>
      <c r="D18" s="149">
        <f>'[2]Приложение 1 _2'!AC16</f>
        <v>2.1940000000000004</v>
      </c>
      <c r="E18" s="149">
        <f>'[2]Приложение 1 _1'!V15</f>
        <v>0.035</v>
      </c>
      <c r="F18" s="149">
        <f>SUM(C18:E18)/3</f>
        <v>1.748</v>
      </c>
      <c r="G18" s="149">
        <f>'[2]Приложение 1 _3'!AA16</f>
        <v>130</v>
      </c>
      <c r="H18" s="149">
        <f>'[2]Приложение 1 _2'!AD16</f>
        <v>135</v>
      </c>
      <c r="I18" s="149">
        <f>'[2]Приложение 1 _1'!W15</f>
        <v>6</v>
      </c>
      <c r="J18" s="149">
        <f>SUM(G18:I18)/3</f>
        <v>90.33333333333333</v>
      </c>
      <c r="K18" s="149">
        <f>'[2]Приложение 1 _3'!AB16</f>
        <v>2379</v>
      </c>
      <c r="L18" s="149">
        <f>'[2]Приложение 1 _2'!AE16</f>
        <v>2583.3750600000003</v>
      </c>
      <c r="M18" s="149">
        <f>'[2]Приложение 1 _1'!X15</f>
        <v>68.4473</v>
      </c>
      <c r="N18" s="149">
        <f>SUM(K18:M18)/3</f>
        <v>1676.9407866666668</v>
      </c>
      <c r="O18" s="149">
        <f>N18/F18*1000</f>
        <v>959348.2761250953</v>
      </c>
      <c r="P18" s="150">
        <f>N18/J18*1000</f>
        <v>18563.92014760148</v>
      </c>
      <c r="Q18" s="146"/>
      <c r="R18" s="146"/>
      <c r="S18" s="147"/>
      <c r="T18" s="147"/>
      <c r="U18" s="146"/>
      <c r="V18" s="146"/>
      <c r="W18" s="147"/>
    </row>
    <row r="19" spans="1:23" ht="15">
      <c r="A19" s="137" t="s">
        <v>269</v>
      </c>
      <c r="B19" s="137"/>
      <c r="C19" s="149">
        <f>'[2]Приложение 1 _3'!Z17</f>
        <v>2.492</v>
      </c>
      <c r="D19" s="149">
        <f>'[2]Приложение 1 _2'!AC17</f>
        <v>2.485</v>
      </c>
      <c r="E19" s="137"/>
      <c r="F19" s="149">
        <f>SUM(C19:E19)/1</f>
        <v>4.977</v>
      </c>
      <c r="G19" s="149">
        <f>'[2]Приложение 1 _3'!AA17</f>
        <v>172</v>
      </c>
      <c r="H19" s="149">
        <f>'[2]Приложение 1 _2'!AD17</f>
        <v>255</v>
      </c>
      <c r="I19" s="149"/>
      <c r="J19" s="149">
        <f>SUM(G19:I19)/1</f>
        <v>427</v>
      </c>
      <c r="K19" s="149">
        <f>'[2]Приложение 1 _3'!AB17</f>
        <v>1963</v>
      </c>
      <c r="L19" s="149">
        <f>'[2]Приложение 1 _2'!AE17</f>
        <v>2493.49414</v>
      </c>
      <c r="M19" s="149"/>
      <c r="N19" s="149">
        <f>SUM(K19:M19)/1</f>
        <v>4456.49414</v>
      </c>
      <c r="O19" s="149">
        <f>N19/F19*1000</f>
        <v>895417.7496483825</v>
      </c>
      <c r="P19" s="150">
        <f>N19/J19*1000</f>
        <v>10436.754426229507</v>
      </c>
      <c r="Q19" s="146"/>
      <c r="R19" s="146"/>
      <c r="S19" s="147"/>
      <c r="T19" s="147"/>
      <c r="U19" s="146"/>
      <c r="V19" s="146"/>
      <c r="W19" s="147"/>
    </row>
    <row r="20" spans="1:23" ht="15">
      <c r="A20" s="139" t="s">
        <v>250</v>
      </c>
      <c r="B20" s="140"/>
      <c r="C20" s="140"/>
      <c r="D20" s="140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  <c r="Q20" s="146"/>
      <c r="R20" s="146"/>
      <c r="S20" s="147"/>
      <c r="T20" s="147"/>
      <c r="U20" s="146"/>
      <c r="V20" s="146"/>
      <c r="W20" s="147"/>
    </row>
    <row r="21" spans="1:23" ht="14.25">
      <c r="A21" s="151" t="s">
        <v>264</v>
      </c>
      <c r="B21" s="151"/>
      <c r="C21" s="152">
        <f>SUM(C22:C27)</f>
        <v>1577.5</v>
      </c>
      <c r="D21" s="152">
        <f>SUM(D22:D27)</f>
        <v>1688</v>
      </c>
      <c r="E21" s="152">
        <f>SUM(E22:E27)</f>
        <v>1152</v>
      </c>
      <c r="F21" s="153">
        <f>SUM(C21:E21)/3</f>
        <v>1472.5</v>
      </c>
      <c r="G21" s="152">
        <f>SUM(G22:G27)</f>
        <v>1577.5</v>
      </c>
      <c r="H21" s="152">
        <f>SUM(H22:H27)</f>
        <v>1688</v>
      </c>
      <c r="I21" s="152">
        <f>SUM(I22:I27)</f>
        <v>1152</v>
      </c>
      <c r="J21" s="153">
        <f>SUM(G21:I21)/3</f>
        <v>1472.5</v>
      </c>
      <c r="K21" s="152">
        <f>SUM(K22:K27)</f>
        <v>65037</v>
      </c>
      <c r="L21" s="152">
        <f>SUM(L22:L26)</f>
        <v>41115.0869</v>
      </c>
      <c r="M21" s="152">
        <f>SUM(M22:M26)</f>
        <v>29163.634829999995</v>
      </c>
      <c r="N21" s="153">
        <f>SUM(K21:M21)/3</f>
        <v>45105.24057666666</v>
      </c>
      <c r="O21" s="152">
        <f aca="true" t="shared" si="0" ref="O21:O27">N21/F21*1000</f>
        <v>30631.742327108088</v>
      </c>
      <c r="P21" s="154">
        <f aca="true" t="shared" si="1" ref="P21:P27">N21/J21*1000</f>
        <v>30631.742327108088</v>
      </c>
      <c r="Q21" s="146">
        <f>3570*Z7</f>
        <v>24525.9</v>
      </c>
      <c r="R21" s="146">
        <v>16289.82</v>
      </c>
      <c r="S21" s="147"/>
      <c r="T21" s="147"/>
      <c r="U21" s="146">
        <f>'[1]Приложение 9 СТС'!$AH$102*Z7</f>
        <v>71611.39672997707</v>
      </c>
      <c r="V21" s="146"/>
      <c r="W21" s="147"/>
    </row>
    <row r="22" spans="1:23" ht="30">
      <c r="A22" s="155" t="s">
        <v>270</v>
      </c>
      <c r="B22" s="155"/>
      <c r="C22" s="156">
        <f>'[2]Приложение 1 _3'!S400</f>
        <v>5</v>
      </c>
      <c r="D22" s="156">
        <f>'[2]Приложение 1 _2'!AC20</f>
        <v>47</v>
      </c>
      <c r="E22" s="157">
        <f>'[2]Приложение 1 _1'!V18</f>
        <v>31</v>
      </c>
      <c r="F22" s="158">
        <f>SUM(C22:E22)/3</f>
        <v>27.666666666666668</v>
      </c>
      <c r="G22" s="158">
        <f>'[2]Приложение 1 _3'!AA20</f>
        <v>5</v>
      </c>
      <c r="H22" s="158">
        <f>'[2]Приложение 1 _2'!AD20</f>
        <v>47</v>
      </c>
      <c r="I22" s="158">
        <f>'[2]Приложение 1 _1'!W18</f>
        <v>31</v>
      </c>
      <c r="J22" s="158">
        <f>SUM(G22:I22)/3</f>
        <v>27.666666666666668</v>
      </c>
      <c r="K22" s="158">
        <f>'[2]Приложение 1 _3'!AB20</f>
        <v>239</v>
      </c>
      <c r="L22" s="158">
        <f>'[2]Приложение 1 _2'!AE20</f>
        <v>3408.31877</v>
      </c>
      <c r="M22" s="158">
        <f>'[2]Приложение 1 _1'!X18</f>
        <v>1243.16183</v>
      </c>
      <c r="N22" s="158">
        <f>SUM(K22:M22)/3</f>
        <v>1630.1602</v>
      </c>
      <c r="O22" s="157">
        <f t="shared" si="0"/>
        <v>58921.45301204819</v>
      </c>
      <c r="P22" s="159">
        <f t="shared" si="1"/>
        <v>58921.45301204819</v>
      </c>
      <c r="Q22" s="160"/>
      <c r="R22" s="160"/>
      <c r="S22" s="161"/>
      <c r="T22" s="161"/>
      <c r="U22" s="160"/>
      <c r="V22" s="160"/>
      <c r="W22" s="161"/>
    </row>
    <row r="23" spans="1:23" ht="15">
      <c r="A23" s="162" t="s">
        <v>271</v>
      </c>
      <c r="B23" s="162"/>
      <c r="C23" s="156">
        <f>'[2]Приложение 1 _3'!S402</f>
        <v>278</v>
      </c>
      <c r="D23" s="156">
        <f>'[2]Приложение 1 _2'!AC21</f>
        <v>405</v>
      </c>
      <c r="E23" s="157">
        <f>'[2]Приложение 1 _1'!V19</f>
        <v>187</v>
      </c>
      <c r="F23" s="158">
        <f>SUM(C23:E23)/3</f>
        <v>290</v>
      </c>
      <c r="G23" s="158">
        <f>'[2]Приложение 1 _3'!AA21</f>
        <v>278</v>
      </c>
      <c r="H23" s="158">
        <f>'[2]Приложение 1 _2'!AD21</f>
        <v>405</v>
      </c>
      <c r="I23" s="158">
        <f>'[2]Приложение 1 _1'!W19</f>
        <v>187</v>
      </c>
      <c r="J23" s="158">
        <f>SUM(G23:I23)/3</f>
        <v>290</v>
      </c>
      <c r="K23" s="158">
        <f>'[2]Приложение 1 _3'!AB21</f>
        <v>11900</v>
      </c>
      <c r="L23" s="158">
        <f>'[2]Приложение 1 _2'!AE21</f>
        <v>17697.26624</v>
      </c>
      <c r="M23" s="158">
        <f>'[2]Приложение 1 _1'!X19</f>
        <v>6647.23527</v>
      </c>
      <c r="N23" s="158">
        <f>SUM(K23:M23)/3</f>
        <v>12081.500503333335</v>
      </c>
      <c r="O23" s="157">
        <f t="shared" si="0"/>
        <v>41660.346563218394</v>
      </c>
      <c r="P23" s="159">
        <f t="shared" si="1"/>
        <v>41660.346563218394</v>
      </c>
      <c r="Q23" s="160"/>
      <c r="R23" s="160"/>
      <c r="S23" s="161"/>
      <c r="T23" s="161"/>
      <c r="U23" s="160"/>
      <c r="V23" s="160"/>
      <c r="W23" s="161"/>
    </row>
    <row r="24" spans="1:23" ht="15">
      <c r="A24" s="162" t="s">
        <v>272</v>
      </c>
      <c r="B24" s="162"/>
      <c r="C24" s="156">
        <f>'[2]Приложение 1 _3'!S430</f>
        <v>672.5</v>
      </c>
      <c r="D24" s="156">
        <f>'[2]Приложение 1 _2'!AC22</f>
        <v>1236</v>
      </c>
      <c r="E24" s="157">
        <f>'[2]Приложение 1 _1'!V20</f>
        <v>389</v>
      </c>
      <c r="F24" s="158">
        <f>SUM(C24:E24)/3</f>
        <v>765.8333333333334</v>
      </c>
      <c r="G24" s="158">
        <f>'[2]Приложение 1 _3'!AA22</f>
        <v>672.5</v>
      </c>
      <c r="H24" s="158">
        <f>'[2]Приложение 1 _2'!AD22</f>
        <v>1236</v>
      </c>
      <c r="I24" s="158">
        <f>'[2]Приложение 1 _1'!W20</f>
        <v>389</v>
      </c>
      <c r="J24" s="158">
        <f>SUM(G24:I24)/3</f>
        <v>765.8333333333334</v>
      </c>
      <c r="K24" s="158">
        <f>'[2]Приложение 1 _3'!AB22</f>
        <v>17933</v>
      </c>
      <c r="L24" s="158">
        <f>'[2]Приложение 1 _2'!AE22</f>
        <v>20009.50189</v>
      </c>
      <c r="M24" s="158">
        <f>'[2]Приложение 1 _1'!X20</f>
        <v>11238.936889999999</v>
      </c>
      <c r="N24" s="158">
        <f>SUM(K24:M24)/3</f>
        <v>16393.812926666666</v>
      </c>
      <c r="O24" s="157">
        <f t="shared" si="0"/>
        <v>21406.502189336232</v>
      </c>
      <c r="P24" s="159">
        <f t="shared" si="1"/>
        <v>21406.502189336232</v>
      </c>
      <c r="Q24" s="160"/>
      <c r="R24" s="160"/>
      <c r="S24" s="161"/>
      <c r="T24" s="161"/>
      <c r="U24" s="160"/>
      <c r="V24" s="160"/>
      <c r="W24" s="161"/>
    </row>
    <row r="25" spans="1:23" ht="15">
      <c r="A25" s="162" t="s">
        <v>273</v>
      </c>
      <c r="B25" s="162"/>
      <c r="C25" s="156">
        <f>'[2]Приложение 1 _3'!S493</f>
        <v>582</v>
      </c>
      <c r="D25" s="156">
        <f>'[2]Приложение 1 _2'!AC23</f>
        <v>0</v>
      </c>
      <c r="E25" s="157">
        <f>'[2]Приложение 1 _1'!V21</f>
        <v>117</v>
      </c>
      <c r="F25" s="158">
        <f>SUM(C25:E25)/2</f>
        <v>349.5</v>
      </c>
      <c r="G25" s="158">
        <f>'[2]Приложение 1 _3'!AA23</f>
        <v>582</v>
      </c>
      <c r="H25" s="158">
        <f>'[2]Приложение 1 _2'!AD23</f>
        <v>0</v>
      </c>
      <c r="I25" s="158">
        <f>'[2]Приложение 1 _1'!W21</f>
        <v>117</v>
      </c>
      <c r="J25" s="158">
        <f>SUM(G25:I25)/2</f>
        <v>349.5</v>
      </c>
      <c r="K25" s="158">
        <f>'[2]Приложение 1 _3'!AB23</f>
        <v>13018</v>
      </c>
      <c r="L25" s="158">
        <f>'[2]Приложение 1 _2'!AE23</f>
        <v>0</v>
      </c>
      <c r="M25" s="158">
        <f>'[2]Приложение 1 _1'!X21</f>
        <v>1228.61065</v>
      </c>
      <c r="N25" s="158">
        <f>SUM(K25:M25)/2</f>
        <v>7123.305325</v>
      </c>
      <c r="O25" s="157">
        <f t="shared" si="0"/>
        <v>20381.41723891273</v>
      </c>
      <c r="P25" s="159">
        <f t="shared" si="1"/>
        <v>20381.41723891273</v>
      </c>
      <c r="Q25" s="160"/>
      <c r="R25" s="160"/>
      <c r="S25" s="161"/>
      <c r="T25" s="161"/>
      <c r="U25" s="160"/>
      <c r="V25" s="160"/>
      <c r="W25" s="161"/>
    </row>
    <row r="26" spans="1:23" ht="15">
      <c r="A26" s="162" t="s">
        <v>274</v>
      </c>
      <c r="B26" s="162"/>
      <c r="C26" s="156">
        <f>'[2]Приложение 1 _3'!S564</f>
        <v>40</v>
      </c>
      <c r="D26" s="156">
        <f>'[2]Приложение 1 _2'!AC24</f>
        <v>0</v>
      </c>
      <c r="E26" s="157">
        <f>'[2]Приложение 1 _1'!V22</f>
        <v>428</v>
      </c>
      <c r="F26" s="158">
        <f>SUM(C26:E26)/2</f>
        <v>234</v>
      </c>
      <c r="G26" s="158">
        <f>'[2]Приложение 1 _3'!AA24</f>
        <v>40</v>
      </c>
      <c r="H26" s="158">
        <f>'[2]Приложение 1 _2'!AD24</f>
        <v>0</v>
      </c>
      <c r="I26" s="158">
        <f>'[2]Приложение 1 _1'!W22</f>
        <v>428</v>
      </c>
      <c r="J26" s="158">
        <f>SUM(G26:I26)/2</f>
        <v>234</v>
      </c>
      <c r="K26" s="158">
        <f>'[2]Приложение 1 _3'!AB24</f>
        <v>8788</v>
      </c>
      <c r="L26" s="158">
        <f>'[2]Приложение 1 _2'!AE24</f>
        <v>0</v>
      </c>
      <c r="M26" s="158">
        <f>'[2]Приложение 1 _1'!X22</f>
        <v>8805.69019</v>
      </c>
      <c r="N26" s="158">
        <f>SUM(K26:M26)/2</f>
        <v>8796.845095</v>
      </c>
      <c r="O26" s="157">
        <f t="shared" si="0"/>
        <v>37593.355106837604</v>
      </c>
      <c r="P26" s="159">
        <f t="shared" si="1"/>
        <v>37593.355106837604</v>
      </c>
      <c r="Q26" s="160"/>
      <c r="R26" s="160"/>
      <c r="S26" s="161"/>
      <c r="T26" s="161"/>
      <c r="U26" s="160"/>
      <c r="V26" s="160"/>
      <c r="W26" s="161"/>
    </row>
    <row r="27" spans="1:23" s="165" customFormat="1" ht="15">
      <c r="A27" s="163" t="s">
        <v>275</v>
      </c>
      <c r="B27" s="163"/>
      <c r="C27" s="160"/>
      <c r="D27" s="164"/>
      <c r="E27" s="162"/>
      <c r="F27" s="158">
        <f>SUM(C27:E27)/1</f>
        <v>0</v>
      </c>
      <c r="G27" s="160">
        <f>'[2]Приложение 1 _3'!AA25</f>
        <v>0</v>
      </c>
      <c r="H27" s="164"/>
      <c r="I27" s="164"/>
      <c r="J27" s="158">
        <f>SUM(G27:I27)/1</f>
        <v>0</v>
      </c>
      <c r="K27" s="160">
        <f>'[2]Приложение 1 _3'!AB25</f>
        <v>13159</v>
      </c>
      <c r="L27" s="164"/>
      <c r="M27" s="164"/>
      <c r="N27" s="158">
        <f>SUM(K27:M27)/1</f>
        <v>13159</v>
      </c>
      <c r="O27" s="157" t="e">
        <f t="shared" si="0"/>
        <v>#DIV/0!</v>
      </c>
      <c r="P27" s="159" t="e">
        <f t="shared" si="1"/>
        <v>#DIV/0!</v>
      </c>
      <c r="Q27" s="160"/>
      <c r="R27" s="160"/>
      <c r="S27" s="161"/>
      <c r="T27" s="161"/>
      <c r="U27" s="160"/>
      <c r="V27" s="160"/>
      <c r="W27" s="161"/>
    </row>
    <row r="28" spans="17:23" ht="15">
      <c r="Q28" s="160"/>
      <c r="R28" s="160"/>
      <c r="S28" s="161"/>
      <c r="T28" s="161"/>
      <c r="U28" s="160"/>
      <c r="V28" s="160"/>
      <c r="W28" s="161"/>
    </row>
    <row r="29" spans="17:23" ht="15">
      <c r="Q29" s="160"/>
      <c r="R29" s="160"/>
      <c r="S29" s="161"/>
      <c r="T29" s="161"/>
      <c r="U29" s="160"/>
      <c r="V29" s="160"/>
      <c r="W29" s="161"/>
    </row>
    <row r="30" spans="1:23" ht="38.25" customHeight="1">
      <c r="A30" s="26"/>
      <c r="B30" s="26"/>
      <c r="C30" s="506" t="s">
        <v>252</v>
      </c>
      <c r="D30" s="506"/>
      <c r="E30" s="506"/>
      <c r="F30" s="127"/>
      <c r="G30" s="507" t="s">
        <v>253</v>
      </c>
      <c r="H30" s="508"/>
      <c r="I30" s="509"/>
      <c r="J30" s="127"/>
      <c r="K30" s="510" t="s">
        <v>254</v>
      </c>
      <c r="L30" s="511"/>
      <c r="M30" s="512"/>
      <c r="N30" s="26"/>
      <c r="O30" s="26"/>
      <c r="P30" s="129"/>
      <c r="Q30" s="514" t="s">
        <v>276</v>
      </c>
      <c r="R30" s="514"/>
      <c r="S30" s="166"/>
      <c r="T30" s="166"/>
      <c r="U30" s="167"/>
      <c r="V30" s="167"/>
      <c r="W30" s="166"/>
    </row>
    <row r="31" spans="1:23" ht="57">
      <c r="A31" s="128"/>
      <c r="B31" s="128"/>
      <c r="C31" s="131">
        <v>2014</v>
      </c>
      <c r="D31" s="131">
        <v>2015</v>
      </c>
      <c r="E31" s="131">
        <v>2016</v>
      </c>
      <c r="F31" s="132" t="s">
        <v>258</v>
      </c>
      <c r="G31" s="131">
        <v>2014</v>
      </c>
      <c r="H31" s="131">
        <v>2015</v>
      </c>
      <c r="I31" s="131">
        <v>2016</v>
      </c>
      <c r="J31" s="132" t="s">
        <v>259</v>
      </c>
      <c r="K31" s="131">
        <v>2014</v>
      </c>
      <c r="L31" s="131">
        <v>2015</v>
      </c>
      <c r="M31" s="131">
        <v>2016</v>
      </c>
      <c r="N31" s="132" t="s">
        <v>260</v>
      </c>
      <c r="O31" s="133" t="s">
        <v>261</v>
      </c>
      <c r="P31" s="134" t="s">
        <v>262</v>
      </c>
      <c r="Q31" s="168" t="s">
        <v>261</v>
      </c>
      <c r="R31" s="168" t="s">
        <v>262</v>
      </c>
      <c r="S31" s="169"/>
      <c r="T31" s="169"/>
      <c r="U31" s="168"/>
      <c r="V31" s="168"/>
      <c r="W31" s="169"/>
    </row>
    <row r="32" spans="1:23" ht="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8"/>
      <c r="Q32" s="160"/>
      <c r="R32" s="160"/>
      <c r="S32" s="161"/>
      <c r="T32" s="161"/>
      <c r="U32" s="160"/>
      <c r="V32" s="160"/>
      <c r="W32" s="161"/>
    </row>
    <row r="33" spans="1:23" ht="22.5">
      <c r="A33" s="137"/>
      <c r="B33" s="137"/>
      <c r="C33" s="137"/>
      <c r="D33" s="137"/>
      <c r="E33" s="137"/>
      <c r="F33" s="513" t="s">
        <v>277</v>
      </c>
      <c r="G33" s="513"/>
      <c r="H33" s="513"/>
      <c r="I33" s="513"/>
      <c r="J33" s="513"/>
      <c r="K33" s="513"/>
      <c r="L33" s="513"/>
      <c r="M33" s="513"/>
      <c r="N33" s="513"/>
      <c r="O33" s="137"/>
      <c r="P33" s="138"/>
      <c r="Q33" s="160"/>
      <c r="R33" s="160"/>
      <c r="S33" s="161"/>
      <c r="T33" s="161"/>
      <c r="U33" s="160"/>
      <c r="V33" s="160"/>
      <c r="W33" s="161"/>
    </row>
    <row r="34" spans="1:23" ht="24" customHeight="1">
      <c r="A34" s="170" t="s">
        <v>247</v>
      </c>
      <c r="B34" s="140"/>
      <c r="C34" s="140"/>
      <c r="D34" s="140"/>
      <c r="E34" s="189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38"/>
      <c r="Q34" s="160"/>
      <c r="R34" s="160"/>
      <c r="S34" s="161"/>
      <c r="T34" s="161"/>
      <c r="U34" s="160"/>
      <c r="V34" s="160"/>
      <c r="W34" s="161"/>
    </row>
    <row r="35" spans="1:23" ht="30" customHeight="1">
      <c r="A35" s="171" t="s">
        <v>278</v>
      </c>
      <c r="B35" s="140"/>
      <c r="C35" s="140"/>
      <c r="D35" s="140"/>
      <c r="E35" s="189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38"/>
      <c r="Q35" s="160"/>
      <c r="R35" s="160"/>
      <c r="S35" s="161"/>
      <c r="T35" s="161"/>
      <c r="U35" s="160"/>
      <c r="V35" s="160"/>
      <c r="W35" s="161"/>
    </row>
    <row r="36" spans="1:23" ht="24.75" customHeight="1">
      <c r="A36" s="151" t="s">
        <v>264</v>
      </c>
      <c r="B36" s="131" t="s">
        <v>279</v>
      </c>
      <c r="C36" s="152">
        <f>C37</f>
        <v>0.172</v>
      </c>
      <c r="D36" s="152">
        <f>D37</f>
        <v>0</v>
      </c>
      <c r="E36" s="190">
        <f>E37</f>
        <v>0</v>
      </c>
      <c r="F36" s="190">
        <f>SUM(C36:E36)/1</f>
        <v>0.172</v>
      </c>
      <c r="G36" s="190">
        <f>G37</f>
        <v>8</v>
      </c>
      <c r="H36" s="190">
        <f>H37</f>
        <v>0</v>
      </c>
      <c r="I36" s="190">
        <f>I37</f>
        <v>0</v>
      </c>
      <c r="J36" s="190">
        <f>SUM(G36:I36)/1</f>
        <v>8</v>
      </c>
      <c r="K36" s="190">
        <f>K37</f>
        <v>34</v>
      </c>
      <c r="L36" s="190">
        <f>L37</f>
        <v>0</v>
      </c>
      <c r="M36" s="190">
        <f>M37</f>
        <v>0</v>
      </c>
      <c r="N36" s="190">
        <f>SUM(K36:M36)/1</f>
        <v>34</v>
      </c>
      <c r="O36" s="190">
        <f>N36/F36*1000</f>
        <v>197674.41860465117</v>
      </c>
      <c r="P36" s="154">
        <f>N36/J36*1000</f>
        <v>4250</v>
      </c>
      <c r="Q36" s="146">
        <f>121276*X7</f>
        <v>533614.4</v>
      </c>
      <c r="R36" s="146">
        <v>944.72</v>
      </c>
      <c r="S36" s="147"/>
      <c r="T36" s="147"/>
      <c r="U36" s="146">
        <f>'[1]Приложение 9 СТС'!$AH$10*X7</f>
        <v>1158690.8080000002</v>
      </c>
      <c r="V36" s="146">
        <f>'[1]Приложение 6 (кальк) '!$F$53</f>
        <v>19929.481897600002</v>
      </c>
      <c r="W36" s="147"/>
    </row>
    <row r="37" spans="1:23" ht="15">
      <c r="A37" s="137" t="s">
        <v>265</v>
      </c>
      <c r="B37" s="128" t="s">
        <v>279</v>
      </c>
      <c r="C37" s="149">
        <f>'[2]Приложение 1 _3'!Z32</f>
        <v>0.172</v>
      </c>
      <c r="D37" s="149"/>
      <c r="E37" s="191"/>
      <c r="F37" s="191">
        <f>SUM(C37:E37)/1</f>
        <v>0.172</v>
      </c>
      <c r="G37" s="191">
        <f>'[2]Приложение 1 _3'!AA32</f>
        <v>8</v>
      </c>
      <c r="H37" s="191"/>
      <c r="I37" s="191"/>
      <c r="J37" s="191">
        <f>SUM(G37:I37)/1</f>
        <v>8</v>
      </c>
      <c r="K37" s="191">
        <f>'[2]Приложение 1 _3'!AB32</f>
        <v>34</v>
      </c>
      <c r="L37" s="191"/>
      <c r="M37" s="191"/>
      <c r="N37" s="191">
        <f>SUM(K37:M37)/1</f>
        <v>34</v>
      </c>
      <c r="O37" s="191">
        <f>N37/F37*1000</f>
        <v>197674.41860465117</v>
      </c>
      <c r="P37" s="150">
        <f>N37/J37*1000</f>
        <v>4250</v>
      </c>
      <c r="Q37" s="146"/>
      <c r="R37" s="146"/>
      <c r="S37" s="147"/>
      <c r="T37" s="147"/>
      <c r="U37" s="146"/>
      <c r="V37" s="146"/>
      <c r="W37" s="147"/>
    </row>
    <row r="38" spans="1:23" ht="15">
      <c r="A38" s="137"/>
      <c r="B38" s="128"/>
      <c r="C38" s="149"/>
      <c r="D38" s="149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50"/>
      <c r="Q38" s="146"/>
      <c r="R38" s="146"/>
      <c r="S38" s="147"/>
      <c r="T38" s="147"/>
      <c r="U38" s="146"/>
      <c r="V38" s="146"/>
      <c r="W38" s="147"/>
    </row>
    <row r="39" spans="1:23" ht="33.75" customHeight="1">
      <c r="A39" s="171" t="s">
        <v>280</v>
      </c>
      <c r="B39" s="128"/>
      <c r="C39" s="149"/>
      <c r="D39" s="149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50"/>
      <c r="Q39" s="146"/>
      <c r="R39" s="146"/>
      <c r="S39" s="147"/>
      <c r="T39" s="147"/>
      <c r="U39" s="146"/>
      <c r="V39" s="146"/>
      <c r="W39" s="147"/>
    </row>
    <row r="40" spans="1:23" ht="14.25">
      <c r="A40" s="515" t="s">
        <v>264</v>
      </c>
      <c r="B40" s="151" t="s">
        <v>279</v>
      </c>
      <c r="C40" s="144">
        <f aca="true" t="shared" si="2" ref="C40:E41">C42+C44+C46</f>
        <v>3.117</v>
      </c>
      <c r="D40" s="144">
        <f t="shared" si="2"/>
        <v>0.6160000000000001</v>
      </c>
      <c r="E40" s="192">
        <f t="shared" si="2"/>
        <v>0.782</v>
      </c>
      <c r="F40" s="192">
        <f>SUM(C40:E40)/3</f>
        <v>1.5050000000000001</v>
      </c>
      <c r="G40" s="192">
        <f aca="true" t="shared" si="3" ref="G40:I41">G42+G44+G46</f>
        <v>279</v>
      </c>
      <c r="H40" s="192">
        <f t="shared" si="3"/>
        <v>226</v>
      </c>
      <c r="I40" s="192">
        <f t="shared" si="3"/>
        <v>406</v>
      </c>
      <c r="J40" s="192">
        <f>SUM(G40:I40)/3</f>
        <v>303.6666666666667</v>
      </c>
      <c r="K40" s="192">
        <f aca="true" t="shared" si="4" ref="K40:M41">K42+K44+K46</f>
        <v>2314</v>
      </c>
      <c r="L40" s="192">
        <f t="shared" si="4"/>
        <v>594.60293</v>
      </c>
      <c r="M40" s="192">
        <f t="shared" si="4"/>
        <v>690.3513399999999</v>
      </c>
      <c r="N40" s="192">
        <f>SUM(K40:M40)/3</f>
        <v>1199.6514233333335</v>
      </c>
      <c r="O40" s="190">
        <f aca="true" t="shared" si="5" ref="O40:O47">N40/F40*1000</f>
        <v>797110.5802879292</v>
      </c>
      <c r="P40" s="154">
        <f aca="true" t="shared" si="6" ref="P40:P47">N40/J40*1000</f>
        <v>3950.553534577388</v>
      </c>
      <c r="Q40" s="146">
        <f>128330*X7*2</f>
        <v>1129304</v>
      </c>
      <c r="R40" s="146">
        <v>1739.56</v>
      </c>
      <c r="S40" s="147"/>
      <c r="T40" s="147"/>
      <c r="U40" s="146">
        <f>'[1]Приложение 9 СТС'!$AH$13*X7</f>
        <v>1224702.688</v>
      </c>
      <c r="V40" s="146">
        <f>'[3]Приложение 6 (кальк) '!$F$53</f>
        <v>6067.050747468716</v>
      </c>
      <c r="W40" s="147"/>
    </row>
    <row r="41" spans="1:23" ht="16.5" customHeight="1">
      <c r="A41" s="516"/>
      <c r="B41" s="151" t="s">
        <v>281</v>
      </c>
      <c r="C41" s="144">
        <f t="shared" si="2"/>
        <v>0</v>
      </c>
      <c r="D41" s="144">
        <f t="shared" si="2"/>
        <v>0</v>
      </c>
      <c r="E41" s="192">
        <f t="shared" si="2"/>
        <v>1.874</v>
      </c>
      <c r="F41" s="192">
        <f>SUM(C41:E41)/1</f>
        <v>1.874</v>
      </c>
      <c r="G41" s="192">
        <f t="shared" si="3"/>
        <v>0</v>
      </c>
      <c r="H41" s="192">
        <f t="shared" si="3"/>
        <v>0</v>
      </c>
      <c r="I41" s="192">
        <f t="shared" si="3"/>
        <v>250</v>
      </c>
      <c r="J41" s="192">
        <f>SUM(G41:I41)/1</f>
        <v>250</v>
      </c>
      <c r="K41" s="192">
        <f t="shared" si="4"/>
        <v>0</v>
      </c>
      <c r="L41" s="192">
        <f t="shared" si="4"/>
        <v>0</v>
      </c>
      <c r="M41" s="192">
        <f t="shared" si="4"/>
        <v>1326.4578900000001</v>
      </c>
      <c r="N41" s="192">
        <f>SUM(K41:M41)/1</f>
        <v>1326.4578900000001</v>
      </c>
      <c r="O41" s="190">
        <f t="shared" si="5"/>
        <v>707821.7129135539</v>
      </c>
      <c r="P41" s="154">
        <f t="shared" si="6"/>
        <v>5305.8315600000005</v>
      </c>
      <c r="Q41" s="146">
        <f>148095*X7*2</f>
        <v>1303236</v>
      </c>
      <c r="R41" s="146">
        <v>858.72</v>
      </c>
      <c r="S41" s="147"/>
      <c r="T41" s="147"/>
      <c r="U41" s="146">
        <f>'[1]Приложение 9 СТС'!$AI$13*X7</f>
        <v>1409640.672</v>
      </c>
      <c r="V41" s="172">
        <f>'[3]Приложение 6 (кальк) '!$F$56</f>
        <v>10544.11222656</v>
      </c>
      <c r="W41" s="147"/>
    </row>
    <row r="42" spans="1:23" ht="15">
      <c r="A42" s="517" t="s">
        <v>265</v>
      </c>
      <c r="B42" s="173" t="s">
        <v>279</v>
      </c>
      <c r="C42" s="149">
        <f>'[2]Приложение 1 _3'!Z37</f>
        <v>2.467</v>
      </c>
      <c r="D42" s="149"/>
      <c r="E42" s="191">
        <f>'[2]Приложение 1 _1'!V29</f>
        <v>0.108</v>
      </c>
      <c r="F42" s="191">
        <f>SUM(C42:E42)/2</f>
        <v>1.2875</v>
      </c>
      <c r="G42" s="191">
        <f>'[2]Приложение 1 _3'!AA37</f>
        <v>149</v>
      </c>
      <c r="H42" s="191"/>
      <c r="I42" s="191">
        <f>'[2]Приложение 1 _1'!W29</f>
        <v>50</v>
      </c>
      <c r="J42" s="191">
        <f>SUM(G42:I42)/2</f>
        <v>99.5</v>
      </c>
      <c r="K42" s="191">
        <f>'[2]Приложение 1 _3'!AB37</f>
        <v>1742</v>
      </c>
      <c r="L42" s="191"/>
      <c r="M42" s="191">
        <f>'[2]Приложение 1 _1'!X29</f>
        <v>204.06337</v>
      </c>
      <c r="N42" s="191">
        <f>SUM(K42:M42)/2</f>
        <v>973.031685</v>
      </c>
      <c r="O42" s="191">
        <f t="shared" si="5"/>
        <v>755752.7650485437</v>
      </c>
      <c r="P42" s="150">
        <f t="shared" si="6"/>
        <v>9779.212914572865</v>
      </c>
      <c r="Q42" s="146"/>
      <c r="R42" s="146"/>
      <c r="S42" s="147"/>
      <c r="T42" s="147"/>
      <c r="U42" s="146"/>
      <c r="V42" s="146"/>
      <c r="W42" s="147"/>
    </row>
    <row r="43" spans="1:23" ht="15">
      <c r="A43" s="518"/>
      <c r="B43" s="173" t="s">
        <v>281</v>
      </c>
      <c r="C43" s="149"/>
      <c r="D43" s="149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50"/>
      <c r="Q43" s="146"/>
      <c r="R43" s="146"/>
      <c r="S43" s="147"/>
      <c r="T43" s="147"/>
      <c r="U43" s="146"/>
      <c r="V43" s="146"/>
      <c r="W43" s="147"/>
    </row>
    <row r="44" spans="1:23" ht="15">
      <c r="A44" s="517" t="s">
        <v>266</v>
      </c>
      <c r="B44" s="173" t="s">
        <v>279</v>
      </c>
      <c r="C44" s="149">
        <f>'[2]Приложение 1 _3'!Z39</f>
        <v>0.65</v>
      </c>
      <c r="D44" s="149">
        <f>'[2]Приложение 1 _2'!AC37</f>
        <v>0.546</v>
      </c>
      <c r="E44" s="191">
        <f>'[2]Приложение 1 _1'!V31</f>
        <v>0.384</v>
      </c>
      <c r="F44" s="191">
        <f>SUM(C44:E44)/3</f>
        <v>0.5266666666666667</v>
      </c>
      <c r="G44" s="191">
        <f>'[2]Приложение 1 _3'!AA39</f>
        <v>130</v>
      </c>
      <c r="H44" s="191">
        <f>'[2]Приложение 1 _2'!AD37</f>
        <v>181</v>
      </c>
      <c r="I44" s="191">
        <f>'[2]Приложение 1 _1'!W31</f>
        <v>306</v>
      </c>
      <c r="J44" s="191">
        <f>SUM(G44:I44)/3</f>
        <v>205.66666666666666</v>
      </c>
      <c r="K44" s="191">
        <f>'[2]Приложение 1 _3'!AB39</f>
        <v>572</v>
      </c>
      <c r="L44" s="191">
        <f>'[2]Приложение 1 _2'!AE37</f>
        <v>503.45015</v>
      </c>
      <c r="M44" s="191">
        <f>'[2]Приложение 1 _1'!X31</f>
        <v>256.08154</v>
      </c>
      <c r="N44" s="191">
        <f>SUM(K44:M44)/3</f>
        <v>443.84389666666675</v>
      </c>
      <c r="O44" s="191">
        <f t="shared" si="5"/>
        <v>842741.5759493671</v>
      </c>
      <c r="P44" s="150">
        <f t="shared" si="6"/>
        <v>2158.0740518638577</v>
      </c>
      <c r="Q44" s="146"/>
      <c r="R44" s="146"/>
      <c r="S44" s="147"/>
      <c r="T44" s="147"/>
      <c r="U44" s="146"/>
      <c r="V44" s="146"/>
      <c r="W44" s="147"/>
    </row>
    <row r="45" spans="1:23" ht="15">
      <c r="A45" s="518"/>
      <c r="B45" s="173" t="s">
        <v>281</v>
      </c>
      <c r="C45" s="149"/>
      <c r="D45" s="137"/>
      <c r="E45" s="191">
        <f>'[2]Приложение 1 _1'!V32</f>
        <v>1.334</v>
      </c>
      <c r="F45" s="191">
        <f>SUM(C45:E45)/1</f>
        <v>1.334</v>
      </c>
      <c r="G45" s="191"/>
      <c r="H45" s="191"/>
      <c r="I45" s="191">
        <f>'[2]Приложение 1 _1'!W32</f>
        <v>150</v>
      </c>
      <c r="J45" s="191">
        <f>SUM(G45:I45)/1</f>
        <v>150</v>
      </c>
      <c r="K45" s="191"/>
      <c r="L45" s="191"/>
      <c r="M45" s="191">
        <f>'[2]Приложение 1 _1'!X32</f>
        <v>739.844</v>
      </c>
      <c r="N45" s="191">
        <f>SUM(K45:M45)/1</f>
        <v>739.844</v>
      </c>
      <c r="O45" s="191">
        <f t="shared" si="5"/>
        <v>554605.6971514244</v>
      </c>
      <c r="P45" s="150">
        <f t="shared" si="6"/>
        <v>4932.293333333334</v>
      </c>
      <c r="Q45" s="146"/>
      <c r="R45" s="146"/>
      <c r="S45" s="147"/>
      <c r="T45" s="147"/>
      <c r="U45" s="146"/>
      <c r="V45" s="146"/>
      <c r="W45" s="147"/>
    </row>
    <row r="46" spans="1:23" ht="15">
      <c r="A46" s="517" t="s">
        <v>267</v>
      </c>
      <c r="B46" s="173" t="s">
        <v>279</v>
      </c>
      <c r="C46" s="137"/>
      <c r="D46" s="149">
        <f>'[2]Приложение 1 _2'!AC39</f>
        <v>0.07</v>
      </c>
      <c r="E46" s="191">
        <f>'[2]Приложение 1 _1'!V33</f>
        <v>0.29</v>
      </c>
      <c r="F46" s="191">
        <f>SUM(C46:E46)/2</f>
        <v>0.18</v>
      </c>
      <c r="G46" s="163"/>
      <c r="H46" s="191">
        <f>'[2]Приложение 1 _2'!AD39</f>
        <v>45</v>
      </c>
      <c r="I46" s="191">
        <f>'[2]Приложение 1 _1'!W33</f>
        <v>50</v>
      </c>
      <c r="J46" s="191">
        <f>SUM(G46:I46)/2</f>
        <v>47.5</v>
      </c>
      <c r="K46" s="163"/>
      <c r="L46" s="191">
        <f>'[2]Приложение 1 _2'!AE39</f>
        <v>91.15278</v>
      </c>
      <c r="M46" s="191">
        <f>'[2]Приложение 1 _1'!X33</f>
        <v>230.20643</v>
      </c>
      <c r="N46" s="191">
        <f>SUM(K46:M46)/2</f>
        <v>160.679605</v>
      </c>
      <c r="O46" s="191">
        <f t="shared" si="5"/>
        <v>892664.4722222224</v>
      </c>
      <c r="P46" s="150">
        <f t="shared" si="6"/>
        <v>3382.7285263157896</v>
      </c>
      <c r="Q46" s="146"/>
      <c r="R46" s="146"/>
      <c r="S46" s="147"/>
      <c r="T46" s="147"/>
      <c r="U46" s="146"/>
      <c r="V46" s="146"/>
      <c r="W46" s="147"/>
    </row>
    <row r="47" spans="1:23" ht="15">
      <c r="A47" s="518"/>
      <c r="B47" s="173" t="s">
        <v>281</v>
      </c>
      <c r="C47" s="157"/>
      <c r="D47" s="157"/>
      <c r="E47" s="193">
        <f>'[2]Приложение 1 _1'!V34</f>
        <v>0.54</v>
      </c>
      <c r="F47" s="191">
        <f>SUM(C47:E47)/1</f>
        <v>0.54</v>
      </c>
      <c r="G47" s="193"/>
      <c r="H47" s="193"/>
      <c r="I47" s="191">
        <f>'[2]Приложение 1 _1'!W34</f>
        <v>100</v>
      </c>
      <c r="J47" s="191">
        <f>SUM(G47:I47)/1</f>
        <v>100</v>
      </c>
      <c r="K47" s="193"/>
      <c r="L47" s="193"/>
      <c r="M47" s="191">
        <f>'[2]Приложение 1 _1'!X34</f>
        <v>586.61389</v>
      </c>
      <c r="N47" s="191">
        <f>SUM(K47:M47)/1</f>
        <v>586.61389</v>
      </c>
      <c r="O47" s="191">
        <f t="shared" si="5"/>
        <v>1086322.0185185184</v>
      </c>
      <c r="P47" s="150">
        <f t="shared" si="6"/>
        <v>5866.138899999999</v>
      </c>
      <c r="Q47" s="146"/>
      <c r="R47" s="146"/>
      <c r="S47" s="147"/>
      <c r="T47" s="147"/>
      <c r="U47" s="146"/>
      <c r="V47" s="146"/>
      <c r="W47" s="147"/>
    </row>
    <row r="48" spans="1:23" ht="35.25" customHeight="1">
      <c r="A48" s="171" t="s">
        <v>282</v>
      </c>
      <c r="B48" s="128"/>
      <c r="C48" s="149"/>
      <c r="D48" s="149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50"/>
      <c r="Q48" s="146"/>
      <c r="R48" s="146"/>
      <c r="S48" s="147"/>
      <c r="T48" s="147"/>
      <c r="U48" s="146"/>
      <c r="V48" s="146"/>
      <c r="W48" s="147"/>
    </row>
    <row r="49" spans="1:23" ht="14.25">
      <c r="A49" s="515" t="s">
        <v>264</v>
      </c>
      <c r="B49" s="151" t="s">
        <v>279</v>
      </c>
      <c r="C49" s="144">
        <f>C51+C53</f>
        <v>0</v>
      </c>
      <c r="D49" s="144">
        <f>D51+D53</f>
        <v>0</v>
      </c>
      <c r="E49" s="192">
        <f>E51+E53+E55</f>
        <v>1.424</v>
      </c>
      <c r="F49" s="192">
        <f>SUM(C49:E49)/3</f>
        <v>0.4746666666666666</v>
      </c>
      <c r="G49" s="192">
        <f aca="true" t="shared" si="7" ref="G49:I50">G51+G53</f>
        <v>0</v>
      </c>
      <c r="H49" s="192">
        <f t="shared" si="7"/>
        <v>0</v>
      </c>
      <c r="I49" s="192">
        <f>I51+I53+I55</f>
        <v>500</v>
      </c>
      <c r="J49" s="192">
        <f>SUM(G49:I49)/1</f>
        <v>500</v>
      </c>
      <c r="K49" s="192">
        <f aca="true" t="shared" si="8" ref="K49:M50">K51+K53</f>
        <v>0</v>
      </c>
      <c r="L49" s="192">
        <f t="shared" si="8"/>
        <v>0</v>
      </c>
      <c r="M49" s="192">
        <f>M51+M53+M55</f>
        <v>1511.11903</v>
      </c>
      <c r="N49" s="192">
        <f>SUM(K49:M49)/1</f>
        <v>1511.11903</v>
      </c>
      <c r="O49" s="190">
        <f>N49/F49*1000</f>
        <v>3183537.2823033715</v>
      </c>
      <c r="P49" s="154">
        <f>N49/J49*1000</f>
        <v>3022.23806</v>
      </c>
      <c r="Q49" s="146">
        <f>256661*Y7</f>
        <v>1416768.72</v>
      </c>
      <c r="R49" s="146">
        <v>122.84</v>
      </c>
      <c r="S49" s="147"/>
      <c r="T49" s="147"/>
      <c r="U49" s="146">
        <f>'[1]Приложение 9 СТС'!$AH$16*X7</f>
        <v>1733926.3920000002</v>
      </c>
      <c r="V49" s="146">
        <f>'[1]Приложение 6 (кальк) '!$F$59</f>
        <v>4938.222364416</v>
      </c>
      <c r="W49" s="147"/>
    </row>
    <row r="50" spans="1:23" ht="14.25">
      <c r="A50" s="516"/>
      <c r="B50" s="151" t="s">
        <v>281</v>
      </c>
      <c r="C50" s="144">
        <f>C52+C54</f>
        <v>0.9279999999999999</v>
      </c>
      <c r="D50" s="144">
        <f>D52+D54</f>
        <v>0</v>
      </c>
      <c r="E50" s="192">
        <f>E52+E54</f>
        <v>0</v>
      </c>
      <c r="F50" s="192">
        <f>SUM(C50:E50)/1</f>
        <v>0.9279999999999999</v>
      </c>
      <c r="G50" s="192">
        <f t="shared" si="7"/>
        <v>521</v>
      </c>
      <c r="H50" s="192">
        <f t="shared" si="7"/>
        <v>0</v>
      </c>
      <c r="I50" s="192">
        <f t="shared" si="7"/>
        <v>0</v>
      </c>
      <c r="J50" s="192">
        <f>SUM(G50:I50)/1</f>
        <v>521</v>
      </c>
      <c r="K50" s="192">
        <f t="shared" si="8"/>
        <v>1692</v>
      </c>
      <c r="L50" s="192">
        <f t="shared" si="8"/>
        <v>0</v>
      </c>
      <c r="M50" s="192">
        <f t="shared" si="8"/>
        <v>0</v>
      </c>
      <c r="N50" s="192">
        <f>SUM(K50:M50)/1</f>
        <v>1692</v>
      </c>
      <c r="O50" s="190">
        <f>N50/F50*1000</f>
        <v>1823275.8620689656</v>
      </c>
      <c r="P50" s="154">
        <f>N50/J50*1000</f>
        <v>3247.6007677543184</v>
      </c>
      <c r="Q50" s="146">
        <f>357444*Y7</f>
        <v>1973090.88</v>
      </c>
      <c r="R50" s="146">
        <v>3846.42</v>
      </c>
      <c r="S50" s="147"/>
      <c r="T50" s="147"/>
      <c r="U50" s="146">
        <f>'[1]Приложение 9 СТС'!$AI$16*X7</f>
        <v>2110644.8000000003</v>
      </c>
      <c r="V50" s="146">
        <f>'[1]Приложение 6 (кальк) '!$F$62</f>
        <v>3759.459451823417</v>
      </c>
      <c r="W50" s="147"/>
    </row>
    <row r="51" spans="1:23" ht="15">
      <c r="A51" s="517" t="s">
        <v>265</v>
      </c>
      <c r="B51" s="173" t="s">
        <v>279</v>
      </c>
      <c r="C51" s="149"/>
      <c r="D51" s="149"/>
      <c r="E51" s="191"/>
      <c r="F51" s="191">
        <f>SUM(C51:E51)/2</f>
        <v>0</v>
      </c>
      <c r="G51" s="191"/>
      <c r="H51" s="191"/>
      <c r="I51" s="191"/>
      <c r="J51" s="191">
        <f>SUM(G51:I51)/2</f>
        <v>0</v>
      </c>
      <c r="K51" s="191"/>
      <c r="L51" s="191"/>
      <c r="M51" s="191"/>
      <c r="N51" s="191">
        <f>SUM(K51:M51)/2</f>
        <v>0</v>
      </c>
      <c r="O51" s="191"/>
      <c r="P51" s="150"/>
      <c r="Q51" s="146"/>
      <c r="R51" s="146"/>
      <c r="S51" s="147"/>
      <c r="T51" s="147"/>
      <c r="U51" s="146"/>
      <c r="V51" s="146"/>
      <c r="W51" s="147"/>
    </row>
    <row r="52" spans="1:23" ht="15">
      <c r="A52" s="518"/>
      <c r="B52" s="173" t="s">
        <v>281</v>
      </c>
      <c r="C52" s="149">
        <f>'[2]Приложение 1 _3'!Z48</f>
        <v>0.06</v>
      </c>
      <c r="D52" s="149"/>
      <c r="E52" s="191"/>
      <c r="F52" s="191">
        <f>SUM(C52:E52)/1</f>
        <v>0.06</v>
      </c>
      <c r="G52" s="191">
        <f>'[2]Приложение 1 _3'!AA48</f>
        <v>271</v>
      </c>
      <c r="H52" s="191"/>
      <c r="I52" s="191"/>
      <c r="J52" s="191">
        <f>SUM(G52:I52)/1</f>
        <v>271</v>
      </c>
      <c r="K52" s="191">
        <f>'[2]Приложение 1 _3'!AB48</f>
        <v>848</v>
      </c>
      <c r="L52" s="191"/>
      <c r="M52" s="191"/>
      <c r="N52" s="191">
        <f>SUM(K52:M52)/1</f>
        <v>848</v>
      </c>
      <c r="O52" s="191">
        <f>N52/F52*1000</f>
        <v>14133333.333333334</v>
      </c>
      <c r="P52" s="150">
        <f>N52/J52*1000</f>
        <v>3129.151291512915</v>
      </c>
      <c r="Q52" s="146"/>
      <c r="R52" s="146"/>
      <c r="S52" s="147"/>
      <c r="T52" s="147"/>
      <c r="U52" s="146"/>
      <c r="V52" s="146"/>
      <c r="W52" s="147"/>
    </row>
    <row r="53" spans="1:23" ht="15">
      <c r="A53" s="517" t="s">
        <v>266</v>
      </c>
      <c r="B53" s="173" t="s">
        <v>279</v>
      </c>
      <c r="C53" s="149"/>
      <c r="D53" s="149"/>
      <c r="E53" s="191"/>
      <c r="F53" s="191">
        <f>SUM(C53:E53)/3</f>
        <v>0</v>
      </c>
      <c r="G53" s="191"/>
      <c r="H53" s="191"/>
      <c r="I53" s="191"/>
      <c r="J53" s="191">
        <f>SUM(G53:I53)/3</f>
        <v>0</v>
      </c>
      <c r="K53" s="191"/>
      <c r="L53" s="191"/>
      <c r="M53" s="191"/>
      <c r="N53" s="191">
        <f>SUM(K53:M53)/3</f>
        <v>0</v>
      </c>
      <c r="O53" s="191"/>
      <c r="P53" s="150"/>
      <c r="Q53" s="146"/>
      <c r="R53" s="146"/>
      <c r="S53" s="147"/>
      <c r="T53" s="147"/>
      <c r="U53" s="146"/>
      <c r="V53" s="146"/>
      <c r="W53" s="147"/>
    </row>
    <row r="54" spans="1:23" ht="15">
      <c r="A54" s="518"/>
      <c r="B54" s="173" t="s">
        <v>281</v>
      </c>
      <c r="C54" s="149">
        <f>'[2]Приложение 1 _3'!Z50</f>
        <v>0.868</v>
      </c>
      <c r="D54" s="137"/>
      <c r="E54" s="191"/>
      <c r="F54" s="191">
        <f>SUM(C54:E54)/1</f>
        <v>0.868</v>
      </c>
      <c r="G54" s="191">
        <f>'[2]Приложение 1 _3'!AA50</f>
        <v>250</v>
      </c>
      <c r="H54" s="191"/>
      <c r="I54" s="191"/>
      <c r="J54" s="191">
        <f>SUM(G54:I54)/1</f>
        <v>250</v>
      </c>
      <c r="K54" s="191">
        <f>'[2]Приложение 1 _3'!AB50</f>
        <v>844</v>
      </c>
      <c r="L54" s="191"/>
      <c r="M54" s="191"/>
      <c r="N54" s="191">
        <f>SUM(K54:M54)/1</f>
        <v>844</v>
      </c>
      <c r="O54" s="191">
        <f>N54/F54*1000</f>
        <v>972350.2304147466</v>
      </c>
      <c r="P54" s="150">
        <f>N54/J54*1000</f>
        <v>3376</v>
      </c>
      <c r="Q54" s="146"/>
      <c r="R54" s="146"/>
      <c r="S54" s="147"/>
      <c r="T54" s="147"/>
      <c r="U54" s="146"/>
      <c r="V54" s="146"/>
      <c r="W54" s="147"/>
    </row>
    <row r="55" spans="1:23" ht="15">
      <c r="A55" s="517" t="s">
        <v>267</v>
      </c>
      <c r="B55" s="174" t="s">
        <v>279</v>
      </c>
      <c r="C55" s="149"/>
      <c r="D55" s="137"/>
      <c r="E55" s="191">
        <f>'[2]Приложение 1 _1'!V40</f>
        <v>1.424</v>
      </c>
      <c r="F55" s="191">
        <f>SUM(C55:E55)/1</f>
        <v>1.424</v>
      </c>
      <c r="G55" s="191"/>
      <c r="H55" s="191"/>
      <c r="I55" s="191">
        <f>'[2]Приложение 1 _1'!W40</f>
        <v>500</v>
      </c>
      <c r="J55" s="191">
        <f>SUM(G55:I55)/1</f>
        <v>500</v>
      </c>
      <c r="K55" s="191"/>
      <c r="L55" s="191"/>
      <c r="M55" s="191">
        <f>'[2]Приложение 1 _1'!X40</f>
        <v>1511.11903</v>
      </c>
      <c r="N55" s="191">
        <f>SUM(K55:M55)/1</f>
        <v>1511.11903</v>
      </c>
      <c r="O55" s="191">
        <f>N55/F55*1000</f>
        <v>1061179.0941011235</v>
      </c>
      <c r="P55" s="150">
        <f>N55/J55*1000</f>
        <v>3022.23806</v>
      </c>
      <c r="Q55" s="146"/>
      <c r="R55" s="146"/>
      <c r="S55" s="147"/>
      <c r="T55" s="147"/>
      <c r="U55" s="146"/>
      <c r="V55" s="146"/>
      <c r="W55" s="147"/>
    </row>
    <row r="56" spans="1:23" ht="15">
      <c r="A56" s="518"/>
      <c r="B56" s="174" t="s">
        <v>281</v>
      </c>
      <c r="C56" s="149"/>
      <c r="D56" s="137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49"/>
      <c r="Q56" s="146"/>
      <c r="R56" s="146"/>
      <c r="S56" s="147"/>
      <c r="T56" s="147"/>
      <c r="U56" s="146"/>
      <c r="V56" s="146"/>
      <c r="W56" s="147"/>
    </row>
    <row r="57" spans="1:23" ht="15">
      <c r="A57" s="175"/>
      <c r="B57" s="176"/>
      <c r="C57" s="149"/>
      <c r="D57" s="137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49"/>
      <c r="Q57" s="146"/>
      <c r="R57" s="146"/>
      <c r="S57" s="147"/>
      <c r="T57" s="147"/>
      <c r="U57" s="146"/>
      <c r="V57" s="146"/>
      <c r="W57" s="147"/>
    </row>
    <row r="58" spans="3:23" ht="14.25">
      <c r="C58" s="26"/>
      <c r="D58" s="26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26"/>
      <c r="Q58" s="146"/>
      <c r="R58" s="146"/>
      <c r="S58" s="147"/>
      <c r="T58" s="147"/>
      <c r="U58" s="146"/>
      <c r="V58" s="146"/>
      <c r="W58" s="147"/>
    </row>
    <row r="59" spans="1:23" ht="22.5">
      <c r="A59" s="170" t="s">
        <v>248</v>
      </c>
      <c r="B59" s="26"/>
      <c r="C59" s="26"/>
      <c r="D59" s="26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29"/>
      <c r="Q59" s="146"/>
      <c r="R59" s="146"/>
      <c r="S59" s="147"/>
      <c r="T59" s="147"/>
      <c r="U59" s="146"/>
      <c r="V59" s="146"/>
      <c r="W59" s="147"/>
    </row>
    <row r="60" spans="1:23" ht="26.25" customHeight="1">
      <c r="A60" s="171" t="s">
        <v>280</v>
      </c>
      <c r="B60" s="128"/>
      <c r="C60" s="149"/>
      <c r="D60" s="149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50"/>
      <c r="Q60" s="146"/>
      <c r="R60" s="146"/>
      <c r="S60" s="147"/>
      <c r="T60" s="147"/>
      <c r="U60" s="146"/>
      <c r="V60" s="146"/>
      <c r="W60" s="147"/>
    </row>
    <row r="61" spans="1:23" ht="14.25">
      <c r="A61" s="515" t="s">
        <v>264</v>
      </c>
      <c r="B61" s="151" t="s">
        <v>279</v>
      </c>
      <c r="C61" s="144">
        <f aca="true" t="shared" si="9" ref="C61:E62">C63+C65</f>
        <v>0.272</v>
      </c>
      <c r="D61" s="144">
        <f t="shared" si="9"/>
        <v>0</v>
      </c>
      <c r="E61" s="192">
        <f t="shared" si="9"/>
        <v>0</v>
      </c>
      <c r="F61" s="192">
        <f>SUM(C61:E61)/1</f>
        <v>0.272</v>
      </c>
      <c r="G61" s="192">
        <f>G63+G65</f>
        <v>20</v>
      </c>
      <c r="H61" s="192">
        <f>H63+H65</f>
        <v>0</v>
      </c>
      <c r="I61" s="192">
        <f>I63+I65</f>
        <v>0</v>
      </c>
      <c r="J61" s="192">
        <f>SUM(G61:I61)/1</f>
        <v>20</v>
      </c>
      <c r="K61" s="192">
        <f aca="true" t="shared" si="10" ref="K61:M62">K63+K65</f>
        <v>208</v>
      </c>
      <c r="L61" s="192">
        <f t="shared" si="10"/>
        <v>0</v>
      </c>
      <c r="M61" s="192">
        <f t="shared" si="10"/>
        <v>0</v>
      </c>
      <c r="N61" s="192">
        <f>SUM(K61:M61)/1</f>
        <v>208</v>
      </c>
      <c r="O61" s="190">
        <f>N61/F61*1000</f>
        <v>764705.8823529411</v>
      </c>
      <c r="P61" s="154">
        <f>N61/J61*1000</f>
        <v>10400</v>
      </c>
      <c r="Q61" s="146">
        <f>83121*Y7*2</f>
        <v>917655.84</v>
      </c>
      <c r="R61" s="146">
        <v>7104.24</v>
      </c>
      <c r="S61" s="147"/>
      <c r="T61" s="147"/>
      <c r="U61" s="146">
        <f>'[1]Приложение 9 СТС'!$AH$42*Y7</f>
        <v>1018021.032</v>
      </c>
      <c r="V61" s="146">
        <f>'[1]Приложение 6 (кальк) '!$F$84</f>
        <v>13845.086035200002</v>
      </c>
      <c r="W61" s="147"/>
    </row>
    <row r="62" spans="1:23" ht="14.25">
      <c r="A62" s="516"/>
      <c r="B62" s="151" t="s">
        <v>281</v>
      </c>
      <c r="C62" s="144">
        <f t="shared" si="9"/>
        <v>0</v>
      </c>
      <c r="D62" s="144">
        <f t="shared" si="9"/>
        <v>0</v>
      </c>
      <c r="E62" s="192">
        <f t="shared" si="9"/>
        <v>0.296</v>
      </c>
      <c r="F62" s="192">
        <f>SUM(C62:E62)/1</f>
        <v>0.296</v>
      </c>
      <c r="G62" s="192">
        <f>G64+G66</f>
        <v>0</v>
      </c>
      <c r="H62" s="192"/>
      <c r="I62" s="192">
        <f>J64+J66</f>
        <v>80</v>
      </c>
      <c r="J62" s="192">
        <f>SUM(G62:I62)/1</f>
        <v>80</v>
      </c>
      <c r="K62" s="192">
        <f t="shared" si="10"/>
        <v>0</v>
      </c>
      <c r="L62" s="192">
        <f t="shared" si="10"/>
        <v>731.12283</v>
      </c>
      <c r="M62" s="192">
        <f t="shared" si="10"/>
        <v>0</v>
      </c>
      <c r="N62" s="192">
        <f>SUM(K62:M62)/1</f>
        <v>731.12283</v>
      </c>
      <c r="O62" s="190">
        <f>N62/F62*1000</f>
        <v>2470009.560810811</v>
      </c>
      <c r="P62" s="154">
        <f>N62/J62*1000</f>
        <v>9139.035375000001</v>
      </c>
      <c r="Q62" s="146">
        <f>227289*Y7*2</f>
        <v>2509270.5599999996</v>
      </c>
      <c r="R62" s="146">
        <v>5384.59</v>
      </c>
      <c r="S62" s="147"/>
      <c r="T62" s="147"/>
      <c r="U62" s="146">
        <f>'[1]Приложение 9 СТС'!$AI$42*Y7</f>
        <v>2581664.3112</v>
      </c>
      <c r="V62" s="146">
        <f>'[1]Приложение 6 (кальк) '!$F$87</f>
        <v>9552.157951439998</v>
      </c>
      <c r="W62" s="147"/>
    </row>
    <row r="63" spans="1:23" ht="15">
      <c r="A63" s="517" t="s">
        <v>283</v>
      </c>
      <c r="B63" s="173" t="s">
        <v>279</v>
      </c>
      <c r="C63" s="149">
        <f>'[2]Приложение 1 _3'!Z54</f>
        <v>0.272</v>
      </c>
      <c r="D63" s="149"/>
      <c r="E63" s="191"/>
      <c r="F63" s="191">
        <f>SUM(C63:E63)/1</f>
        <v>0.272</v>
      </c>
      <c r="G63" s="191">
        <f>'[2]Приложение 1 _3'!AA54</f>
        <v>20</v>
      </c>
      <c r="H63" s="191"/>
      <c r="I63" s="191"/>
      <c r="J63" s="191">
        <f>SUM(G63:I63)/1</f>
        <v>20</v>
      </c>
      <c r="K63" s="191">
        <f>'[2]Приложение 1 _3'!AB54</f>
        <v>208</v>
      </c>
      <c r="L63" s="191"/>
      <c r="M63" s="191"/>
      <c r="N63" s="191">
        <f>SUM(K63:M63)/1</f>
        <v>208</v>
      </c>
      <c r="O63" s="191">
        <f>N63/F63*1000</f>
        <v>764705.8823529411</v>
      </c>
      <c r="P63" s="150">
        <f>N63/J63*1000</f>
        <v>10400</v>
      </c>
      <c r="Q63" s="146"/>
      <c r="R63" s="146"/>
      <c r="S63" s="147"/>
      <c r="T63" s="147"/>
      <c r="U63" s="146"/>
      <c r="V63" s="146"/>
      <c r="W63" s="147"/>
    </row>
    <row r="64" spans="1:23" ht="15">
      <c r="A64" s="518"/>
      <c r="B64" s="173" t="s">
        <v>281</v>
      </c>
      <c r="C64" s="149"/>
      <c r="D64" s="149"/>
      <c r="E64" s="191">
        <f>'[2]Приложение 1 _1'!V47</f>
        <v>0.296</v>
      </c>
      <c r="F64" s="191">
        <f>SUM(C64:E64)/1</f>
        <v>0.296</v>
      </c>
      <c r="G64" s="191"/>
      <c r="H64" s="37"/>
      <c r="I64" s="191">
        <f>'[2]Приложение 1 _1'!W47</f>
        <v>80</v>
      </c>
      <c r="J64" s="191">
        <f>SUM(G64:I64)/1</f>
        <v>80</v>
      </c>
      <c r="K64" s="191"/>
      <c r="L64" s="191">
        <f>'[2]Приложение 1 _1'!X47</f>
        <v>731.12283</v>
      </c>
      <c r="M64" s="191"/>
      <c r="N64" s="191">
        <f>SUM(K64:M64)/1</f>
        <v>731.12283</v>
      </c>
      <c r="O64" s="191">
        <f>N64/F64*1000</f>
        <v>2470009.560810811</v>
      </c>
      <c r="P64" s="150">
        <f>N64/J64*1000</f>
        <v>9139.035375000001</v>
      </c>
      <c r="Q64" s="146"/>
      <c r="R64" s="146"/>
      <c r="S64" s="147"/>
      <c r="T64" s="147"/>
      <c r="U64" s="146"/>
      <c r="V64" s="146"/>
      <c r="W64" s="147"/>
    </row>
    <row r="65" spans="1:23" ht="15">
      <c r="A65" s="517" t="s">
        <v>284</v>
      </c>
      <c r="B65" s="173" t="s">
        <v>279</v>
      </c>
      <c r="C65" s="149"/>
      <c r="D65" s="149"/>
      <c r="E65" s="191"/>
      <c r="F65" s="191">
        <f>SUM(C65:E65)/3</f>
        <v>0</v>
      </c>
      <c r="G65" s="191"/>
      <c r="H65" s="191"/>
      <c r="I65" s="191"/>
      <c r="J65" s="191">
        <f>SUM(G65:I65)/3</f>
        <v>0</v>
      </c>
      <c r="K65" s="191"/>
      <c r="L65" s="191"/>
      <c r="M65" s="191"/>
      <c r="N65" s="191">
        <f>SUM(K65:M65)/3</f>
        <v>0</v>
      </c>
      <c r="O65" s="191"/>
      <c r="P65" s="150"/>
      <c r="Q65" s="146"/>
      <c r="R65" s="146"/>
      <c r="S65" s="147"/>
      <c r="T65" s="147"/>
      <c r="U65" s="146"/>
      <c r="V65" s="146"/>
      <c r="W65" s="147"/>
    </row>
    <row r="66" spans="1:23" ht="15">
      <c r="A66" s="518"/>
      <c r="B66" s="173" t="s">
        <v>281</v>
      </c>
      <c r="C66" s="149"/>
      <c r="D66" s="137"/>
      <c r="E66" s="191"/>
      <c r="F66" s="191">
        <f>SUM(C66:E66)/1</f>
        <v>0</v>
      </c>
      <c r="G66" s="191"/>
      <c r="H66" s="191"/>
      <c r="I66" s="191"/>
      <c r="J66" s="191">
        <f>SUM(G66:I66)/1</f>
        <v>0</v>
      </c>
      <c r="K66" s="191"/>
      <c r="L66" s="191"/>
      <c r="M66" s="191"/>
      <c r="N66" s="191">
        <f>SUM(K66:M66)/1</f>
        <v>0</v>
      </c>
      <c r="O66" s="191"/>
      <c r="P66" s="150"/>
      <c r="Q66" s="146"/>
      <c r="R66" s="146"/>
      <c r="S66" s="147"/>
      <c r="T66" s="147"/>
      <c r="U66" s="146"/>
      <c r="V66" s="146"/>
      <c r="W66" s="147"/>
    </row>
    <row r="67" spans="1:23" ht="29.25" customHeight="1">
      <c r="A67" s="171" t="s">
        <v>282</v>
      </c>
      <c r="B67" s="128"/>
      <c r="C67" s="149"/>
      <c r="D67" s="149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50"/>
      <c r="Q67" s="146"/>
      <c r="R67" s="146"/>
      <c r="S67" s="147"/>
      <c r="T67" s="147"/>
      <c r="U67" s="146"/>
      <c r="V67" s="146"/>
      <c r="W67" s="147"/>
    </row>
    <row r="68" spans="1:23" ht="14.25">
      <c r="A68" s="515" t="s">
        <v>264</v>
      </c>
      <c r="B68" s="151" t="s">
        <v>279</v>
      </c>
      <c r="C68" s="144">
        <f aca="true" t="shared" si="11" ref="C68:E69">C70+C72+C74</f>
        <v>0</v>
      </c>
      <c r="D68" s="144">
        <f t="shared" si="11"/>
        <v>0.382</v>
      </c>
      <c r="E68" s="192">
        <f t="shared" si="11"/>
        <v>0</v>
      </c>
      <c r="F68" s="192">
        <f>SUM(C68:E68)/1</f>
        <v>0.382</v>
      </c>
      <c r="G68" s="192">
        <f aca="true" t="shared" si="12" ref="G68:I69">G70+G72+G74</f>
        <v>0</v>
      </c>
      <c r="H68" s="192">
        <f t="shared" si="12"/>
        <v>510.75</v>
      </c>
      <c r="I68" s="192">
        <f t="shared" si="12"/>
        <v>0</v>
      </c>
      <c r="J68" s="192">
        <f>SUM(G68:I68)/1</f>
        <v>510.75</v>
      </c>
      <c r="K68" s="192">
        <f aca="true" t="shared" si="13" ref="K68:M69">K70+K72+K74</f>
        <v>0</v>
      </c>
      <c r="L68" s="192">
        <f t="shared" si="13"/>
        <v>664.69078</v>
      </c>
      <c r="M68" s="192">
        <f t="shared" si="13"/>
        <v>0</v>
      </c>
      <c r="N68" s="192">
        <f>SUM(K68:M68)/1</f>
        <v>664.69078</v>
      </c>
      <c r="O68" s="190">
        <f>N68/F68*1000</f>
        <v>1740028.2198952879</v>
      </c>
      <c r="P68" s="154">
        <f>N68/J68*1000</f>
        <v>1301.4014292706804</v>
      </c>
      <c r="Q68" s="146">
        <f>241106*Y7</f>
        <v>1330905.1199999999</v>
      </c>
      <c r="R68" s="146">
        <v>4867.89</v>
      </c>
      <c r="S68" s="147"/>
      <c r="T68" s="147"/>
      <c r="U68" s="146">
        <f>'[1]Приложение 9 СТС'!$AH$57*Y7</f>
        <v>1790007.4392</v>
      </c>
      <c r="V68" s="146">
        <f>'[3]Приложение 9 СТС (ставки платы)'!$AH$32</f>
        <v>1331.7725440939794</v>
      </c>
      <c r="W68" s="147"/>
    </row>
    <row r="69" spans="1:23" ht="14.25">
      <c r="A69" s="516"/>
      <c r="B69" s="151" t="s">
        <v>281</v>
      </c>
      <c r="C69" s="144">
        <f t="shared" si="11"/>
        <v>0.848</v>
      </c>
      <c r="D69" s="144">
        <f t="shared" si="11"/>
        <v>1.487</v>
      </c>
      <c r="E69" s="192">
        <f t="shared" si="11"/>
        <v>0</v>
      </c>
      <c r="F69" s="192">
        <f>SUM(C69:E69)/2</f>
        <v>1.1675</v>
      </c>
      <c r="G69" s="192">
        <f t="shared" si="12"/>
        <v>555</v>
      </c>
      <c r="H69" s="192">
        <f t="shared" si="12"/>
        <v>1191</v>
      </c>
      <c r="I69" s="192">
        <f t="shared" si="12"/>
        <v>0</v>
      </c>
      <c r="J69" s="192">
        <f>SUM(G69:I69)/2</f>
        <v>873</v>
      </c>
      <c r="K69" s="192">
        <f t="shared" si="13"/>
        <v>2100</v>
      </c>
      <c r="L69" s="192">
        <f t="shared" si="13"/>
        <v>5727.44128</v>
      </c>
      <c r="M69" s="192">
        <f t="shared" si="13"/>
        <v>0</v>
      </c>
      <c r="N69" s="192">
        <f>SUM(K69:M69)/2</f>
        <v>3913.72064</v>
      </c>
      <c r="O69" s="190">
        <f>N69/F69*1000</f>
        <v>3352223.246252677</v>
      </c>
      <c r="P69" s="154">
        <f>N69/J69*1000</f>
        <v>4483.070607101947</v>
      </c>
      <c r="Q69" s="146">
        <f>548048*Y7</f>
        <v>3025224.96</v>
      </c>
      <c r="R69" s="146">
        <v>33581.24</v>
      </c>
      <c r="S69" s="147"/>
      <c r="T69" s="147"/>
      <c r="U69" s="146">
        <f>'[1]Приложение 9 СТС'!$AI$57*Y7</f>
        <v>3951125.0303999996</v>
      </c>
      <c r="V69" s="146">
        <f>'[3]Приложение 9 СТС (ставки платы)'!$AI$32</f>
        <v>5290.796289275601</v>
      </c>
      <c r="W69" s="147"/>
    </row>
    <row r="70" spans="1:23" ht="15">
      <c r="A70" s="517" t="s">
        <v>267</v>
      </c>
      <c r="B70" s="173" t="s">
        <v>279</v>
      </c>
      <c r="C70" s="137"/>
      <c r="D70" s="149">
        <f>'[2]Приложение 1 _2'!AC45</f>
        <v>0.262</v>
      </c>
      <c r="E70" s="191"/>
      <c r="F70" s="191">
        <f>SUM(C70:E70)/1</f>
        <v>0.262</v>
      </c>
      <c r="G70" s="163"/>
      <c r="H70" s="191">
        <f>'[2]Приложение 1 _2'!AD45</f>
        <v>250</v>
      </c>
      <c r="I70" s="191"/>
      <c r="J70" s="191">
        <f>SUM(G70:I70)/1</f>
        <v>250</v>
      </c>
      <c r="K70" s="163"/>
      <c r="L70" s="191">
        <f>'[2]Приложение 1 _2'!AE45</f>
        <v>342.91054</v>
      </c>
      <c r="M70" s="191"/>
      <c r="N70" s="191">
        <f>SUM(K70:M70)/1</f>
        <v>342.91054</v>
      </c>
      <c r="O70" s="191">
        <f>N70/F70*1000</f>
        <v>1308818.854961832</v>
      </c>
      <c r="P70" s="150">
        <f>N70/J70*1000</f>
        <v>1371.64216</v>
      </c>
      <c r="Q70" s="146"/>
      <c r="R70" s="146"/>
      <c r="S70" s="147"/>
      <c r="T70" s="147"/>
      <c r="U70" s="146"/>
      <c r="V70" s="146"/>
      <c r="W70" s="147"/>
    </row>
    <row r="71" spans="1:23" ht="15">
      <c r="A71" s="518"/>
      <c r="B71" s="173" t="s">
        <v>281</v>
      </c>
      <c r="C71" s="157"/>
      <c r="D71" s="149">
        <f>'[2]Приложение 1 _2'!AC46</f>
        <v>0.79</v>
      </c>
      <c r="E71" s="193"/>
      <c r="F71" s="191">
        <f>SUM(C71:E71)/1</f>
        <v>0.79</v>
      </c>
      <c r="G71" s="193"/>
      <c r="H71" s="191">
        <f>'[2]Приложение 1 _2'!AD46</f>
        <v>411</v>
      </c>
      <c r="I71" s="191"/>
      <c r="J71" s="191">
        <f>SUM(G71:I71)/1</f>
        <v>411</v>
      </c>
      <c r="K71" s="193"/>
      <c r="L71" s="191">
        <f>'[2]Приложение 1 _2'!AE46</f>
        <v>1623.6138199999998</v>
      </c>
      <c r="M71" s="191"/>
      <c r="N71" s="191">
        <f>SUM(K71:M71)/1</f>
        <v>1623.6138199999998</v>
      </c>
      <c r="O71" s="191">
        <f>N71/F71*1000</f>
        <v>2055207.367088607</v>
      </c>
      <c r="P71" s="150">
        <f>N71/J71*1000</f>
        <v>3950.3985888077855</v>
      </c>
      <c r="Q71" s="146"/>
      <c r="R71" s="146"/>
      <c r="S71" s="147"/>
      <c r="T71" s="147"/>
      <c r="U71" s="146"/>
      <c r="V71" s="146"/>
      <c r="W71" s="147"/>
    </row>
    <row r="72" spans="1:23" ht="15">
      <c r="A72" s="517" t="s">
        <v>283</v>
      </c>
      <c r="B72" s="173" t="s">
        <v>279</v>
      </c>
      <c r="C72" s="149"/>
      <c r="D72" s="149"/>
      <c r="E72" s="191"/>
      <c r="F72" s="191">
        <f>SUM(C72:E72)/2</f>
        <v>0</v>
      </c>
      <c r="G72" s="191"/>
      <c r="H72" s="191"/>
      <c r="I72" s="191"/>
      <c r="J72" s="191">
        <f>SUM(G72:I72)/2</f>
        <v>0</v>
      </c>
      <c r="K72" s="191"/>
      <c r="L72" s="191"/>
      <c r="M72" s="191"/>
      <c r="N72" s="191">
        <f>SUM(K72:M72)/2</f>
        <v>0</v>
      </c>
      <c r="O72" s="191"/>
      <c r="P72" s="150"/>
      <c r="Q72" s="146"/>
      <c r="R72" s="146"/>
      <c r="S72" s="147"/>
      <c r="T72" s="147"/>
      <c r="U72" s="146"/>
      <c r="V72" s="146"/>
      <c r="W72" s="147"/>
    </row>
    <row r="73" spans="1:23" ht="15">
      <c r="A73" s="518"/>
      <c r="B73" s="173" t="s">
        <v>281</v>
      </c>
      <c r="C73" s="149">
        <f>'[2]Приложение 1 _3'!Z60</f>
        <v>0.848</v>
      </c>
      <c r="D73" s="149"/>
      <c r="E73" s="191"/>
      <c r="F73" s="191">
        <f>SUM(C73:E73)/1</f>
        <v>0.848</v>
      </c>
      <c r="G73" s="191">
        <f>'[2]Приложение 1 _3'!AA60</f>
        <v>555</v>
      </c>
      <c r="H73" s="191"/>
      <c r="I73" s="191"/>
      <c r="J73" s="191">
        <f>SUM(G73:I73)/1</f>
        <v>555</v>
      </c>
      <c r="K73" s="191">
        <f>'[2]Приложение 1 _3'!AB58</f>
        <v>2100</v>
      </c>
      <c r="L73" s="191"/>
      <c r="M73" s="191"/>
      <c r="N73" s="191">
        <f>SUM(K73:M73)/1</f>
        <v>2100</v>
      </c>
      <c r="O73" s="191">
        <f>N73/F73*1000</f>
        <v>2476415.0943396227</v>
      </c>
      <c r="P73" s="150">
        <f>N73/J73*1000</f>
        <v>3783.7837837837837</v>
      </c>
      <c r="Q73" s="146"/>
      <c r="R73" s="146"/>
      <c r="S73" s="147"/>
      <c r="T73" s="147"/>
      <c r="U73" s="146"/>
      <c r="V73" s="146"/>
      <c r="W73" s="147"/>
    </row>
    <row r="74" spans="1:23" ht="15">
      <c r="A74" s="517" t="s">
        <v>284</v>
      </c>
      <c r="B74" s="173" t="s">
        <v>279</v>
      </c>
      <c r="C74" s="149"/>
      <c r="D74" s="149">
        <f>'[2]Приложение 1 _2'!AC47</f>
        <v>0.12</v>
      </c>
      <c r="E74" s="191"/>
      <c r="F74" s="191">
        <f>SUM(C74:E74)/1</f>
        <v>0.12</v>
      </c>
      <c r="G74" s="191"/>
      <c r="H74" s="191">
        <f>'[2]Приложение 1 _2'!AD47</f>
        <v>260.75</v>
      </c>
      <c r="I74" s="191"/>
      <c r="J74" s="191">
        <f>SUM(G74:I74)/1</f>
        <v>260.75</v>
      </c>
      <c r="K74" s="191"/>
      <c r="L74" s="191">
        <f>'[2]Приложение 1 _2'!AE47</f>
        <v>321.78024</v>
      </c>
      <c r="M74" s="191"/>
      <c r="N74" s="191">
        <f>SUM(K74:M74)/1</f>
        <v>321.78024</v>
      </c>
      <c r="O74" s="191"/>
      <c r="P74" s="150"/>
      <c r="Q74" s="146"/>
      <c r="R74" s="146"/>
      <c r="S74" s="147"/>
      <c r="T74" s="147"/>
      <c r="U74" s="146"/>
      <c r="V74" s="146"/>
      <c r="W74" s="147"/>
    </row>
    <row r="75" spans="1:23" ht="15">
      <c r="A75" s="518"/>
      <c r="B75" s="173" t="s">
        <v>281</v>
      </c>
      <c r="C75" s="149"/>
      <c r="D75" s="149">
        <f>'[2]Приложение 1 _2'!AC48</f>
        <v>0.6970000000000001</v>
      </c>
      <c r="E75" s="191"/>
      <c r="F75" s="191">
        <f>SUM(C75:E75)/1</f>
        <v>0.6970000000000001</v>
      </c>
      <c r="G75" s="191"/>
      <c r="H75" s="191">
        <f>'[2]Приложение 1 _2'!AD48</f>
        <v>780</v>
      </c>
      <c r="I75" s="191"/>
      <c r="J75" s="191">
        <f>SUM(G75:I75)/1</f>
        <v>780</v>
      </c>
      <c r="K75" s="191"/>
      <c r="L75" s="191">
        <f>'[2]Приложение 1 _2'!AE48</f>
        <v>4103.82746</v>
      </c>
      <c r="M75" s="191"/>
      <c r="N75" s="191">
        <f>SUM(K75:M75)/1</f>
        <v>4103.82746</v>
      </c>
      <c r="O75" s="191">
        <f>N75/F75*1000</f>
        <v>5887844.275466284</v>
      </c>
      <c r="P75" s="150">
        <f>N75/J75*1000</f>
        <v>5261.317256410257</v>
      </c>
      <c r="Q75" s="146"/>
      <c r="R75" s="146"/>
      <c r="S75" s="147"/>
      <c r="T75" s="147"/>
      <c r="U75" s="146"/>
      <c r="V75" s="146"/>
      <c r="W75" s="147"/>
    </row>
    <row r="76" spans="1:23" ht="30" customHeight="1">
      <c r="A76" s="171" t="s">
        <v>285</v>
      </c>
      <c r="B76" s="128"/>
      <c r="C76" s="149"/>
      <c r="D76" s="149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50"/>
      <c r="Q76" s="146"/>
      <c r="R76" s="146"/>
      <c r="S76" s="147"/>
      <c r="T76" s="147"/>
      <c r="U76" s="146"/>
      <c r="V76" s="146"/>
      <c r="W76" s="147"/>
    </row>
    <row r="77" spans="1:23" ht="14.25">
      <c r="A77" s="515" t="s">
        <v>264</v>
      </c>
      <c r="B77" s="151" t="s">
        <v>279</v>
      </c>
      <c r="C77" s="144">
        <f>C79+C81+C83</f>
        <v>0</v>
      </c>
      <c r="D77" s="144">
        <f>D79</f>
        <v>0</v>
      </c>
      <c r="E77" s="192">
        <f>E79</f>
        <v>0</v>
      </c>
      <c r="F77" s="192">
        <f>SUM(C77:E77)/3</f>
        <v>0</v>
      </c>
      <c r="G77" s="192">
        <f aca="true" t="shared" si="14" ref="G77:I78">G79+G81+G83</f>
        <v>0</v>
      </c>
      <c r="H77" s="192">
        <f t="shared" si="14"/>
        <v>0</v>
      </c>
      <c r="I77" s="192">
        <f t="shared" si="14"/>
        <v>0</v>
      </c>
      <c r="J77" s="192">
        <f>SUM(G77:I77)/3</f>
        <v>0</v>
      </c>
      <c r="K77" s="192">
        <f aca="true" t="shared" si="15" ref="K77:M78">K79+K81+K83</f>
        <v>0</v>
      </c>
      <c r="L77" s="192">
        <f t="shared" si="15"/>
        <v>0</v>
      </c>
      <c r="M77" s="192">
        <f t="shared" si="15"/>
        <v>0</v>
      </c>
      <c r="N77" s="192">
        <f>SUM(K77:M77)/3</f>
        <v>0</v>
      </c>
      <c r="O77" s="190"/>
      <c r="P77" s="154"/>
      <c r="Q77" s="146">
        <f>266427*Y7</f>
        <v>1470677.0399999998</v>
      </c>
      <c r="R77" s="146">
        <v>2026.92</v>
      </c>
      <c r="S77" s="147"/>
      <c r="T77" s="147"/>
      <c r="U77" s="146">
        <f>'[1]Приложение 9 СТС'!$AH$72*Y7</f>
        <v>2133468.5184</v>
      </c>
      <c r="V77" s="146"/>
      <c r="W77" s="147"/>
    </row>
    <row r="78" spans="1:23" ht="14.25">
      <c r="A78" s="516"/>
      <c r="B78" s="151" t="s">
        <v>281</v>
      </c>
      <c r="C78" s="144">
        <f>C80+C82+C84</f>
        <v>0.528</v>
      </c>
      <c r="D78" s="144">
        <f>D80+D82+D84</f>
        <v>29.886</v>
      </c>
      <c r="E78" s="192">
        <f>E80+E82+E84</f>
        <v>0</v>
      </c>
      <c r="F78" s="192">
        <f>SUM(C78:E78)/2</f>
        <v>15.206999999999999</v>
      </c>
      <c r="G78" s="192">
        <f t="shared" si="14"/>
        <v>966</v>
      </c>
      <c r="H78" s="192">
        <f t="shared" si="14"/>
        <v>3360</v>
      </c>
      <c r="I78" s="192">
        <f t="shared" si="14"/>
        <v>0</v>
      </c>
      <c r="J78" s="192">
        <f>SUM(G78:I78)/2</f>
        <v>2163</v>
      </c>
      <c r="K78" s="192">
        <f t="shared" si="15"/>
        <v>2898</v>
      </c>
      <c r="L78" s="192">
        <f t="shared" si="15"/>
        <v>74058.89253343585</v>
      </c>
      <c r="M78" s="192">
        <f t="shared" si="15"/>
        <v>0</v>
      </c>
      <c r="N78" s="192">
        <f>SUM(K78:M78)/2</f>
        <v>38478.446266717925</v>
      </c>
      <c r="O78" s="190">
        <f>N78/F78*1000</f>
        <v>2530311.4530622694</v>
      </c>
      <c r="P78" s="154">
        <f>N78/J78*1000</f>
        <v>17789.38801050297</v>
      </c>
      <c r="Q78" s="146">
        <f>767685*Y7</f>
        <v>4237621.199999999</v>
      </c>
      <c r="R78" s="146">
        <v>5997.01</v>
      </c>
      <c r="S78" s="147"/>
      <c r="T78" s="147"/>
      <c r="U78" s="146">
        <f>'[1]Приложение 9 СТС'!$AI$72*Y7</f>
        <v>4884992.6136</v>
      </c>
      <c r="V78" s="146">
        <f>'[1]Приложение 6 (кальк) '!$F$96</f>
        <v>34344.00493528211</v>
      </c>
      <c r="W78" s="147"/>
    </row>
    <row r="79" spans="1:23" ht="15">
      <c r="A79" s="517" t="s">
        <v>286</v>
      </c>
      <c r="B79" s="173" t="s">
        <v>279</v>
      </c>
      <c r="C79" s="149"/>
      <c r="D79" s="144">
        <f>D81+D83+D85</f>
        <v>0</v>
      </c>
      <c r="E79" s="192">
        <f>E81+E83+E85</f>
        <v>0</v>
      </c>
      <c r="F79" s="191">
        <f>SUM(C79:E79)/2</f>
        <v>0</v>
      </c>
      <c r="G79" s="191"/>
      <c r="H79" s="191"/>
      <c r="I79" s="191"/>
      <c r="J79" s="191">
        <f>SUM(G79:I79)/2</f>
        <v>0</v>
      </c>
      <c r="K79" s="191"/>
      <c r="L79" s="191"/>
      <c r="M79" s="191"/>
      <c r="N79" s="191">
        <f>SUM(K79:M79)/2</f>
        <v>0</v>
      </c>
      <c r="O79" s="191"/>
      <c r="P79" s="150"/>
      <c r="Q79" s="146"/>
      <c r="R79" s="177"/>
      <c r="S79" s="178"/>
      <c r="T79" s="178"/>
      <c r="U79" s="179"/>
      <c r="V79" s="179"/>
      <c r="W79" s="180"/>
    </row>
    <row r="80" spans="1:23" ht="15">
      <c r="A80" s="518"/>
      <c r="B80" s="173" t="s">
        <v>281</v>
      </c>
      <c r="C80" s="149">
        <f>'[2]Приложение 1 _3'!Z62</f>
        <v>0.528</v>
      </c>
      <c r="D80" s="149"/>
      <c r="E80" s="191"/>
      <c r="F80" s="191">
        <f>SUM(C80:E80)/1</f>
        <v>0.528</v>
      </c>
      <c r="G80" s="191">
        <f>'[2]Приложение 1 _3'!AA62</f>
        <v>966</v>
      </c>
      <c r="H80" s="191"/>
      <c r="I80" s="191"/>
      <c r="J80" s="191">
        <f>SUM(G80:I80)/1</f>
        <v>966</v>
      </c>
      <c r="K80" s="191">
        <f>'[2]Приложение 1 _3'!AB62</f>
        <v>2898</v>
      </c>
      <c r="L80" s="191"/>
      <c r="M80" s="191"/>
      <c r="N80" s="191">
        <f>SUM(K80:M80)/1</f>
        <v>2898</v>
      </c>
      <c r="O80" s="191">
        <f>N80/F80*1000</f>
        <v>5488636.363636363</v>
      </c>
      <c r="P80" s="150">
        <f>N80/J80*1000</f>
        <v>3000</v>
      </c>
      <c r="Q80" s="146"/>
      <c r="R80" s="146"/>
      <c r="S80" s="147"/>
      <c r="T80" s="147"/>
      <c r="U80" s="146"/>
      <c r="V80" s="146"/>
      <c r="W80" s="147"/>
    </row>
    <row r="81" spans="1:23" ht="15">
      <c r="A81" s="517" t="s">
        <v>283</v>
      </c>
      <c r="B81" s="173" t="s">
        <v>279</v>
      </c>
      <c r="C81" s="149"/>
      <c r="D81" s="149"/>
      <c r="E81" s="191"/>
      <c r="F81" s="191">
        <f>SUM(C81:E81)/2</f>
        <v>0</v>
      </c>
      <c r="G81" s="191"/>
      <c r="H81" s="191"/>
      <c r="I81" s="191"/>
      <c r="J81" s="191">
        <f>SUM(G81:I81)/2</f>
        <v>0</v>
      </c>
      <c r="K81" s="191"/>
      <c r="L81" s="191"/>
      <c r="M81" s="191"/>
      <c r="N81" s="191">
        <f>SUM(K81:M81)/2</f>
        <v>0</v>
      </c>
      <c r="O81" s="191"/>
      <c r="P81" s="150"/>
      <c r="Q81" s="146"/>
      <c r="R81" s="146"/>
      <c r="S81" s="147"/>
      <c r="T81" s="147"/>
      <c r="U81" s="146"/>
      <c r="V81" s="146"/>
      <c r="W81" s="147"/>
    </row>
    <row r="82" spans="1:23" ht="15">
      <c r="A82" s="518"/>
      <c r="B82" s="173" t="s">
        <v>281</v>
      </c>
      <c r="C82" s="149"/>
      <c r="D82" s="149">
        <f>'[2]Приложение 1 _2'!AC53</f>
        <v>29.799</v>
      </c>
      <c r="E82" s="191"/>
      <c r="F82" s="191">
        <f>SUM(C82:E82)/1</f>
        <v>29.799</v>
      </c>
      <c r="G82" s="191"/>
      <c r="H82" s="191">
        <f>'[2]Приложение 1 _2'!AD53</f>
        <v>2510</v>
      </c>
      <c r="I82" s="191"/>
      <c r="J82" s="191">
        <f>SUM(G82:I82)/1</f>
        <v>2510</v>
      </c>
      <c r="K82" s="191"/>
      <c r="L82" s="191">
        <f>'[2]Приложение 1 _2'!AE53</f>
        <v>71685.71376343585</v>
      </c>
      <c r="M82" s="191"/>
      <c r="N82" s="191">
        <f>SUM(K82:M82)/1</f>
        <v>71685.71376343585</v>
      </c>
      <c r="O82" s="191">
        <f>N82/F82*1000</f>
        <v>2405641.5907727056</v>
      </c>
      <c r="P82" s="150">
        <f>N82/J82*1000</f>
        <v>28560.04532407803</v>
      </c>
      <c r="Q82" s="146"/>
      <c r="R82" s="146"/>
      <c r="S82" s="147"/>
      <c r="T82" s="147"/>
      <c r="U82" s="146"/>
      <c r="V82" s="146"/>
      <c r="W82" s="147"/>
    </row>
    <row r="83" spans="1:23" ht="15">
      <c r="A83" s="517" t="s">
        <v>284</v>
      </c>
      <c r="B83" s="173" t="s">
        <v>279</v>
      </c>
      <c r="C83" s="149"/>
      <c r="D83" s="149"/>
      <c r="E83" s="191"/>
      <c r="F83" s="191">
        <f>SUM(C83:E83)/3</f>
        <v>0</v>
      </c>
      <c r="G83" s="191"/>
      <c r="H83" s="191"/>
      <c r="I83" s="191"/>
      <c r="J83" s="191">
        <f>SUM(G83:I83)/3</f>
        <v>0</v>
      </c>
      <c r="K83" s="191"/>
      <c r="L83" s="191"/>
      <c r="M83" s="191"/>
      <c r="N83" s="191">
        <f>SUM(K83:M83)/3</f>
        <v>0</v>
      </c>
      <c r="O83" s="191"/>
      <c r="P83" s="150"/>
      <c r="Q83" s="146"/>
      <c r="R83" s="146"/>
      <c r="S83" s="147"/>
      <c r="T83" s="147"/>
      <c r="U83" s="146"/>
      <c r="V83" s="146"/>
      <c r="W83" s="147"/>
    </row>
    <row r="84" spans="1:23" ht="15">
      <c r="A84" s="518"/>
      <c r="B84" s="173" t="s">
        <v>281</v>
      </c>
      <c r="C84" s="149"/>
      <c r="D84" s="149">
        <f>'[2]Приложение 1 _2'!AC55</f>
        <v>0.087</v>
      </c>
      <c r="E84" s="191"/>
      <c r="F84" s="191">
        <f>SUM(C84:E84)/1</f>
        <v>0.087</v>
      </c>
      <c r="G84" s="191"/>
      <c r="H84" s="191">
        <f>'[2]Приложение 1 _2'!AD55</f>
        <v>850</v>
      </c>
      <c r="I84" s="191"/>
      <c r="J84" s="191">
        <f>SUM(G84:I84)/1</f>
        <v>850</v>
      </c>
      <c r="K84" s="191"/>
      <c r="L84" s="191">
        <f>'[2]Приложение 1 _2'!AE55</f>
        <v>2373.17877</v>
      </c>
      <c r="M84" s="191"/>
      <c r="N84" s="191">
        <f>SUM(K84:M84)/1</f>
        <v>2373.17877</v>
      </c>
      <c r="O84" s="191">
        <f>N84/F84*1000</f>
        <v>27277916.89655173</v>
      </c>
      <c r="P84" s="150">
        <f>N84/J84*1000</f>
        <v>2791.975023529412</v>
      </c>
      <c r="Q84" s="146"/>
      <c r="R84" s="146"/>
      <c r="S84" s="147"/>
      <c r="T84" s="147"/>
      <c r="U84" s="146"/>
      <c r="V84" s="146"/>
      <c r="W84" s="147"/>
    </row>
    <row r="85" spans="1:44" ht="33.75" customHeight="1">
      <c r="A85" s="181" t="s">
        <v>249</v>
      </c>
      <c r="B85" s="164"/>
      <c r="C85" s="164"/>
      <c r="D85" s="16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82"/>
      <c r="Q85" s="146"/>
      <c r="R85" s="146"/>
      <c r="S85" s="147"/>
      <c r="T85" s="147"/>
      <c r="U85" s="146"/>
      <c r="V85" s="146"/>
      <c r="W85" s="147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</row>
    <row r="86" spans="1:44" ht="24" customHeight="1">
      <c r="A86" s="171" t="s">
        <v>282</v>
      </c>
      <c r="B86" s="164"/>
      <c r="C86" s="183">
        <f>C87</f>
        <v>228</v>
      </c>
      <c r="D86" s="183">
        <f>D87</f>
        <v>260.75</v>
      </c>
      <c r="E86" s="196">
        <f>E87</f>
        <v>650</v>
      </c>
      <c r="F86" s="196">
        <f>SUM(C86:E86)/3</f>
        <v>379.5833333333333</v>
      </c>
      <c r="G86" s="196">
        <f>G87</f>
        <v>228</v>
      </c>
      <c r="H86" s="196">
        <f>H87</f>
        <v>260.75</v>
      </c>
      <c r="I86" s="196">
        <f>I87</f>
        <v>650</v>
      </c>
      <c r="J86" s="196">
        <f>SUM(G86:I86)/3</f>
        <v>379.5833333333333</v>
      </c>
      <c r="K86" s="196">
        <f>K87</f>
        <v>2023</v>
      </c>
      <c r="L86" s="196">
        <f>L87</f>
        <v>411.90103</v>
      </c>
      <c r="M86" s="196">
        <f>M87</f>
        <v>2099.40446</v>
      </c>
      <c r="N86" s="196">
        <f>SUM(K86:M86)/3</f>
        <v>1511.4351633333335</v>
      </c>
      <c r="O86" s="190">
        <f>N86/F86*1000</f>
        <v>3981.8269945115267</v>
      </c>
      <c r="P86" s="154">
        <f>N86/J86*1000</f>
        <v>3981.8269945115267</v>
      </c>
      <c r="Q86" s="146">
        <f>542*Z7</f>
        <v>3723.54</v>
      </c>
      <c r="R86" s="146">
        <v>2548.24</v>
      </c>
      <c r="S86" s="147"/>
      <c r="T86" s="147"/>
      <c r="U86" s="146">
        <f>'[1]Приложение 9 СТС'!$AH$110*Z7</f>
        <v>8747.575437356592</v>
      </c>
      <c r="V86" s="146">
        <f>'[1]Приложение 6 (кальк) '!$F$114</f>
        <v>8747.575437356592</v>
      </c>
      <c r="W86" s="147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</row>
    <row r="87" spans="1:44" ht="15">
      <c r="A87" s="164" t="s">
        <v>287</v>
      </c>
      <c r="B87" s="164"/>
      <c r="C87" s="160">
        <f>'[2]Приложение 1 _3'!Z66</f>
        <v>228</v>
      </c>
      <c r="D87" s="160">
        <f>'[2]Приложение 1 _2'!AC58</f>
        <v>260.75</v>
      </c>
      <c r="E87" s="197">
        <f>'[2]Приложение 1 _1'!V52</f>
        <v>650</v>
      </c>
      <c r="F87" s="197">
        <f>SUM(C87:E87)/3</f>
        <v>379.5833333333333</v>
      </c>
      <c r="G87" s="197">
        <f>'[2]Приложение 1 _3'!AA66</f>
        <v>228</v>
      </c>
      <c r="H87" s="197">
        <f>'[2]Приложение 1 _2'!AD58</f>
        <v>260.75</v>
      </c>
      <c r="I87" s="197">
        <f>'[2]Приложение 1 _1'!W52</f>
        <v>650</v>
      </c>
      <c r="J87" s="197">
        <f>SUM(G87:I87)/3</f>
        <v>379.5833333333333</v>
      </c>
      <c r="K87" s="197">
        <f>'[2]Приложение 1 _3'!AB66</f>
        <v>2023</v>
      </c>
      <c r="L87" s="197">
        <f>'[2]Приложение 1 _2'!AE58</f>
        <v>411.90103</v>
      </c>
      <c r="M87" s="197">
        <f>'[2]Приложение 1 _1'!X52</f>
        <v>2099.40446</v>
      </c>
      <c r="N87" s="197">
        <f>SUM(K87:M87)/3</f>
        <v>1511.4351633333335</v>
      </c>
      <c r="O87" s="191">
        <f>N87/F87*1000</f>
        <v>3981.8269945115267</v>
      </c>
      <c r="P87" s="150">
        <f>N87/J87*1000</f>
        <v>3981.8269945115267</v>
      </c>
      <c r="Q87" s="146"/>
      <c r="R87" s="146"/>
      <c r="S87" s="147"/>
      <c r="T87" s="147"/>
      <c r="U87" s="146"/>
      <c r="V87" s="146"/>
      <c r="W87" s="147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</row>
    <row r="88" spans="1:44" ht="28.5" customHeight="1">
      <c r="A88" s="171" t="s">
        <v>285</v>
      </c>
      <c r="B88" s="164"/>
      <c r="C88" s="183">
        <f>C89</f>
        <v>0</v>
      </c>
      <c r="D88" s="183">
        <f>D89</f>
        <v>988.74</v>
      </c>
      <c r="E88" s="196">
        <f>E89</f>
        <v>10918.3</v>
      </c>
      <c r="F88" s="196">
        <f>SUM(C88:E88)/2</f>
        <v>5953.5199999999995</v>
      </c>
      <c r="G88" s="196">
        <f>G89</f>
        <v>0</v>
      </c>
      <c r="H88" s="196">
        <f>H89</f>
        <v>988.74</v>
      </c>
      <c r="I88" s="196">
        <f>I89</f>
        <v>10918.3</v>
      </c>
      <c r="J88" s="196">
        <f>SUM(G88:I88)/2</f>
        <v>5953.5199999999995</v>
      </c>
      <c r="K88" s="196">
        <f>K89</f>
        <v>0</v>
      </c>
      <c r="L88" s="196">
        <f>L89</f>
        <v>695.21821</v>
      </c>
      <c r="M88" s="196">
        <f>M89</f>
        <v>5296.27441</v>
      </c>
      <c r="N88" s="196">
        <f>SUM(K88:M88)/2</f>
        <v>2995.74631</v>
      </c>
      <c r="O88" s="190">
        <f>N88/F88*1000</f>
        <v>503.18908981577295</v>
      </c>
      <c r="P88" s="154">
        <f>N88/J88*1000</f>
        <v>503.18908981577295</v>
      </c>
      <c r="Q88" s="146">
        <f>161*Z7</f>
        <v>1106.07</v>
      </c>
      <c r="R88" s="167" t="s">
        <v>288</v>
      </c>
      <c r="S88" s="166"/>
      <c r="T88" s="166"/>
      <c r="U88" s="184">
        <f>'[1]Приложение 9 СТС'!$AH$111*Z7</f>
        <v>1424.7141989185247</v>
      </c>
      <c r="V88" s="184">
        <f>'[1]Приложение 6 (кальк) '!$F$115</f>
        <v>1424.7141989185247</v>
      </c>
      <c r="W88" s="166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</row>
    <row r="89" spans="1:44" ht="15">
      <c r="A89" s="164" t="s">
        <v>287</v>
      </c>
      <c r="B89" s="164"/>
      <c r="C89" s="164"/>
      <c r="D89" s="160">
        <f>'[2]Приложение 1 _2'!AC60</f>
        <v>988.74</v>
      </c>
      <c r="E89" s="197">
        <f>'[2]Приложение 1 _1'!V54</f>
        <v>10918.3</v>
      </c>
      <c r="F89" s="197">
        <f>SUM(C89:E89)/2</f>
        <v>5953.5199999999995</v>
      </c>
      <c r="G89" s="195"/>
      <c r="H89" s="197">
        <f>'[2]Приложение 1 _2'!AD60</f>
        <v>988.74</v>
      </c>
      <c r="I89" s="197">
        <f>'[2]Приложение 1 _1'!W54</f>
        <v>10918.3</v>
      </c>
      <c r="J89" s="197">
        <f>SUM(G89:I89)/2</f>
        <v>5953.5199999999995</v>
      </c>
      <c r="K89" s="195"/>
      <c r="L89" s="197">
        <f>'[2]Приложение 1 _2'!AE60</f>
        <v>695.21821</v>
      </c>
      <c r="M89" s="197">
        <f>'[2]Приложение 1 _1'!X54</f>
        <v>5296.27441</v>
      </c>
      <c r="N89" s="197">
        <f>SUM(K89:M89)/2</f>
        <v>2995.74631</v>
      </c>
      <c r="O89" s="191">
        <f>N89/F89*1000</f>
        <v>503.18908981577295</v>
      </c>
      <c r="P89" s="150">
        <f>N89/J89*1000</f>
        <v>503.18908981577295</v>
      </c>
      <c r="Q89" s="146"/>
      <c r="R89" s="146"/>
      <c r="S89" s="147"/>
      <c r="T89" s="147"/>
      <c r="U89" s="146"/>
      <c r="V89" s="146"/>
      <c r="W89" s="147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</row>
    <row r="90" spans="1:44" ht="31.5" customHeight="1">
      <c r="A90" s="181" t="s">
        <v>250</v>
      </c>
      <c r="B90" s="164"/>
      <c r="C90" s="164"/>
      <c r="D90" s="16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82"/>
      <c r="Q90" s="146"/>
      <c r="R90" s="146"/>
      <c r="S90" s="147"/>
      <c r="T90" s="147"/>
      <c r="U90" s="146"/>
      <c r="V90" s="146"/>
      <c r="W90" s="147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</row>
    <row r="91" spans="1:44" ht="16.5" customHeight="1">
      <c r="A91" s="171" t="s">
        <v>278</v>
      </c>
      <c r="B91" s="164"/>
      <c r="C91" s="185"/>
      <c r="D91" s="146">
        <f>D92</f>
        <v>15</v>
      </c>
      <c r="E91" s="198"/>
      <c r="F91" s="199">
        <f>D91</f>
        <v>15</v>
      </c>
      <c r="G91" s="198"/>
      <c r="H91" s="199">
        <f>H92</f>
        <v>15</v>
      </c>
      <c r="I91" s="198"/>
      <c r="J91" s="199">
        <f>H91</f>
        <v>15</v>
      </c>
      <c r="K91" s="198"/>
      <c r="L91" s="199">
        <f>L92</f>
        <v>593.7371899999999</v>
      </c>
      <c r="M91" s="198"/>
      <c r="N91" s="199">
        <f>L91</f>
        <v>593.7371899999999</v>
      </c>
      <c r="O91" s="190">
        <f>N91/F91*1000</f>
        <v>39582.47933333333</v>
      </c>
      <c r="P91" s="154">
        <f>N91/J91*1000</f>
        <v>39582.47933333333</v>
      </c>
      <c r="Q91" s="146">
        <f>3570*Z7</f>
        <v>24525.9</v>
      </c>
      <c r="R91" s="146">
        <v>16289.82</v>
      </c>
      <c r="S91" s="147"/>
      <c r="T91" s="147"/>
      <c r="U91" s="146">
        <f>'[1]Приложение 9 СТС'!$AH$102*Z7</f>
        <v>71611.39672997707</v>
      </c>
      <c r="V91" s="146">
        <f>'[1]Приложение 6 (кальк) '!$F$121</f>
        <v>71611.39672997707</v>
      </c>
      <c r="W91" s="147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</row>
    <row r="92" spans="1:44" ht="15" customHeight="1">
      <c r="A92" s="173" t="s">
        <v>289</v>
      </c>
      <c r="B92" s="164"/>
      <c r="C92" s="164"/>
      <c r="D92" s="160">
        <f>'[2]Приложение 1 _2'!AC64</f>
        <v>15</v>
      </c>
      <c r="E92" s="195"/>
      <c r="F92" s="197">
        <f>D92</f>
        <v>15</v>
      </c>
      <c r="G92" s="195"/>
      <c r="H92" s="197">
        <f>'[2]Приложение 1 _2'!AD64</f>
        <v>15</v>
      </c>
      <c r="I92" s="195"/>
      <c r="J92" s="197">
        <f>H92</f>
        <v>15</v>
      </c>
      <c r="K92" s="195"/>
      <c r="L92" s="197">
        <f>'[2]Приложение 1 _2'!AE64</f>
        <v>593.7371899999999</v>
      </c>
      <c r="M92" s="195"/>
      <c r="N92" s="197">
        <f>L92</f>
        <v>593.7371899999999</v>
      </c>
      <c r="O92" s="191">
        <f>N92/F92*1000</f>
        <v>39582.47933333333</v>
      </c>
      <c r="P92" s="150">
        <f>N92/J92*1000</f>
        <v>39582.47933333333</v>
      </c>
      <c r="Q92" s="146"/>
      <c r="R92" s="146"/>
      <c r="S92" s="147"/>
      <c r="T92" s="147"/>
      <c r="U92" s="146"/>
      <c r="V92" s="146"/>
      <c r="W92" s="147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</row>
    <row r="93" spans="1:44" ht="13.5" customHeight="1">
      <c r="A93" s="186"/>
      <c r="B93" s="164"/>
      <c r="C93" s="164"/>
      <c r="D93" s="16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82"/>
      <c r="Q93" s="146"/>
      <c r="R93" s="146"/>
      <c r="S93" s="147"/>
      <c r="T93" s="147"/>
      <c r="U93" s="146"/>
      <c r="V93" s="146"/>
      <c r="W93" s="147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</row>
    <row r="94" spans="1:44" ht="30" customHeight="1">
      <c r="A94" s="187" t="s">
        <v>280</v>
      </c>
      <c r="B94" s="127"/>
      <c r="C94" s="183">
        <f>SUM(C95:C98)</f>
        <v>500</v>
      </c>
      <c r="D94" s="183">
        <f>SUM(D95:D98)</f>
        <v>617</v>
      </c>
      <c r="E94" s="196">
        <f>SUM(E95:E98)</f>
        <v>603</v>
      </c>
      <c r="F94" s="196">
        <f>SUM(C94:E94)/3</f>
        <v>573.3333333333334</v>
      </c>
      <c r="G94" s="196">
        <f>SUM(G95:G98)</f>
        <v>500</v>
      </c>
      <c r="H94" s="196">
        <f>SUM(H95:H98)</f>
        <v>617</v>
      </c>
      <c r="I94" s="196">
        <f>SUM(I95:I98)</f>
        <v>603</v>
      </c>
      <c r="J94" s="196">
        <f>SUM(G94:I94)/3</f>
        <v>573.3333333333334</v>
      </c>
      <c r="K94" s="196">
        <f>SUM(K95:K98)</f>
        <v>6801</v>
      </c>
      <c r="L94" s="196">
        <f>SUM(L95:L98)</f>
        <v>3756.2220100000004</v>
      </c>
      <c r="M94" s="196">
        <f>SUM(M95:M98)</f>
        <v>5814.21898</v>
      </c>
      <c r="N94" s="196">
        <f>SUM(K94:M94)/3</f>
        <v>5457.146996666667</v>
      </c>
      <c r="O94" s="190">
        <f aca="true" t="shared" si="16" ref="O94:O103">N94/F94*1000</f>
        <v>9518.279645348837</v>
      </c>
      <c r="P94" s="154">
        <f aca="true" t="shared" si="17" ref="P94:P106">N94/J94*1000</f>
        <v>9518.279645348837</v>
      </c>
      <c r="Q94" s="146">
        <f>471*Z7</f>
        <v>3235.77</v>
      </c>
      <c r="R94" s="146">
        <v>2241.64</v>
      </c>
      <c r="S94" s="147"/>
      <c r="T94" s="147"/>
      <c r="U94" s="146">
        <f>'[1]Приложение 9 СТС'!$AH$103*Z7</f>
        <v>12931.116992554224</v>
      </c>
      <c r="V94" s="146">
        <f>'[1]Приложение 6 (кальк) '!$F$123</f>
        <v>12931.116992554224</v>
      </c>
      <c r="W94" s="147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</row>
    <row r="95" spans="1:44" ht="15">
      <c r="A95" s="173" t="s">
        <v>290</v>
      </c>
      <c r="B95" s="164"/>
      <c r="C95" s="160">
        <f>'[2]Приложение 1 _3'!Z72</f>
        <v>35</v>
      </c>
      <c r="D95" s="160">
        <f>'[2]Приложение 1 _2'!AC70</f>
        <v>35</v>
      </c>
      <c r="E95" s="197">
        <f>'[2]Приложение 1 _1'!V58</f>
        <v>95</v>
      </c>
      <c r="F95" s="200">
        <f aca="true" t="shared" si="18" ref="F95:F101">SUM(C95:E95)/3</f>
        <v>55</v>
      </c>
      <c r="G95" s="197">
        <f>'[2]Приложение 1 _3'!AA72</f>
        <v>35</v>
      </c>
      <c r="H95" s="197">
        <f>'[2]Приложение 1 _2'!AD70</f>
        <v>35</v>
      </c>
      <c r="I95" s="197">
        <f>'[2]Приложение 1 _1'!W58</f>
        <v>95</v>
      </c>
      <c r="J95" s="200">
        <f>SUM(G95:I95)/3</f>
        <v>55</v>
      </c>
      <c r="K95" s="197">
        <f>'[2]Приложение 1 _3'!AB72</f>
        <v>1483</v>
      </c>
      <c r="L95" s="197">
        <f>'[2]Приложение 1 _2'!AE70</f>
        <v>456.37802</v>
      </c>
      <c r="M95" s="197">
        <f>'[2]Приложение 1 _1'!X58</f>
        <v>588.72161</v>
      </c>
      <c r="N95" s="200">
        <f>SUM(K95:M95)/3</f>
        <v>842.6998766666667</v>
      </c>
      <c r="O95" s="191">
        <f t="shared" si="16"/>
        <v>15321.815939393939</v>
      </c>
      <c r="P95" s="150">
        <f t="shared" si="17"/>
        <v>15321.815939393939</v>
      </c>
      <c r="Q95" s="146"/>
      <c r="R95" s="146"/>
      <c r="S95" s="147"/>
      <c r="T95" s="147"/>
      <c r="U95" s="146"/>
      <c r="V95" s="146"/>
      <c r="W95" s="147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</row>
    <row r="96" spans="1:44" ht="15">
      <c r="A96" s="173" t="s">
        <v>289</v>
      </c>
      <c r="B96" s="164"/>
      <c r="C96" s="160">
        <f>'[2]Приложение 1 _3'!Z73</f>
        <v>365</v>
      </c>
      <c r="D96" s="160">
        <f>'[2]Приложение 1 _2'!AC71</f>
        <v>582</v>
      </c>
      <c r="E96" s="197">
        <f>'[2]Приложение 1 _1'!W59</f>
        <v>288</v>
      </c>
      <c r="F96" s="200">
        <f t="shared" si="18"/>
        <v>411.6666666666667</v>
      </c>
      <c r="G96" s="197">
        <f>'[2]Приложение 1 _3'!AA73</f>
        <v>365</v>
      </c>
      <c r="H96" s="197">
        <f>'[2]Приложение 1 _2'!AD71</f>
        <v>582</v>
      </c>
      <c r="I96" s="197">
        <f>'[2]Приложение 1 _1'!W59</f>
        <v>288</v>
      </c>
      <c r="J96" s="200">
        <f>SUM(G96:I96)/3</f>
        <v>411.6666666666667</v>
      </c>
      <c r="K96" s="197">
        <f>'[2]Приложение 1 _3'!AB73</f>
        <v>3918</v>
      </c>
      <c r="L96" s="197">
        <f>'[2]Приложение 1 _2'!AE71</f>
        <v>3299.8439900000003</v>
      </c>
      <c r="M96" s="197">
        <f>'[2]Приложение 1 _1'!X59</f>
        <v>3431.85127</v>
      </c>
      <c r="N96" s="200">
        <f>SUM(K96:M96)/3</f>
        <v>3549.89842</v>
      </c>
      <c r="O96" s="191">
        <f t="shared" si="16"/>
        <v>8623.23502834008</v>
      </c>
      <c r="P96" s="150">
        <f t="shared" si="17"/>
        <v>8623.23502834008</v>
      </c>
      <c r="Q96" s="146"/>
      <c r="R96" s="146"/>
      <c r="S96" s="147"/>
      <c r="T96" s="147"/>
      <c r="U96" s="146"/>
      <c r="V96" s="146"/>
      <c r="W96" s="147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</row>
    <row r="97" spans="1:44" ht="15">
      <c r="A97" s="164" t="s">
        <v>287</v>
      </c>
      <c r="B97" s="164"/>
      <c r="C97" s="160"/>
      <c r="D97" s="160"/>
      <c r="E97" s="197">
        <f>'[2]Приложение 1 _1'!V60</f>
        <v>220</v>
      </c>
      <c r="F97" s="200">
        <f>SUM(C97:E97)/1</f>
        <v>220</v>
      </c>
      <c r="G97" s="197"/>
      <c r="H97" s="197"/>
      <c r="I97" s="197">
        <f>'[2]Приложение 1 _1'!W60</f>
        <v>220</v>
      </c>
      <c r="J97" s="200">
        <f>SUM(G97:I97)/1</f>
        <v>220</v>
      </c>
      <c r="K97" s="197"/>
      <c r="L97" s="197"/>
      <c r="M97" s="197">
        <f>'[2]Приложение 1 _1'!X60</f>
        <v>1793.6461</v>
      </c>
      <c r="N97" s="200">
        <f>SUM(K97:M97)/1</f>
        <v>1793.6461</v>
      </c>
      <c r="O97" s="191">
        <f t="shared" si="16"/>
        <v>8152.936818181818</v>
      </c>
      <c r="P97" s="150">
        <f t="shared" si="17"/>
        <v>8152.936818181818</v>
      </c>
      <c r="Q97" s="146"/>
      <c r="R97" s="146"/>
      <c r="S97" s="147"/>
      <c r="T97" s="147"/>
      <c r="U97" s="146"/>
      <c r="V97" s="146"/>
      <c r="W97" s="147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</row>
    <row r="98" spans="1:44" ht="15">
      <c r="A98" s="188" t="s">
        <v>291</v>
      </c>
      <c r="B98" s="164"/>
      <c r="C98" s="160">
        <f>'[2]Приложение 1 _3'!Z74</f>
        <v>100</v>
      </c>
      <c r="D98" s="160">
        <f>'[2]Приложение 1 _2'!AC72</f>
        <v>0</v>
      </c>
      <c r="E98" s="195"/>
      <c r="F98" s="200">
        <f>SUM(C98:E98)/1</f>
        <v>100</v>
      </c>
      <c r="G98" s="197">
        <f>'[2]Приложение 1 _3'!AA74</f>
        <v>100</v>
      </c>
      <c r="H98" s="197">
        <f>'[2]Приложение 1 _2'!AD72</f>
        <v>0</v>
      </c>
      <c r="I98" s="195"/>
      <c r="J98" s="200">
        <f>SUM(G98:I98)/1</f>
        <v>100</v>
      </c>
      <c r="K98" s="197">
        <f>'[2]Приложение 1 _3'!AB74</f>
        <v>1400</v>
      </c>
      <c r="L98" s="197">
        <f>'[2]Приложение 1 _2'!AE72</f>
        <v>0</v>
      </c>
      <c r="M98" s="195"/>
      <c r="N98" s="200">
        <f>SUM(K98:M98)/1</f>
        <v>1400</v>
      </c>
      <c r="O98" s="191">
        <f t="shared" si="16"/>
        <v>14000</v>
      </c>
      <c r="P98" s="150">
        <f t="shared" si="17"/>
        <v>14000</v>
      </c>
      <c r="Q98" s="146"/>
      <c r="R98" s="146"/>
      <c r="S98" s="147"/>
      <c r="T98" s="147"/>
      <c r="U98" s="146"/>
      <c r="V98" s="146"/>
      <c r="W98" s="147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</row>
    <row r="99" spans="1:44" ht="28.5" customHeight="1">
      <c r="A99" s="171" t="s">
        <v>282</v>
      </c>
      <c r="B99" s="164"/>
      <c r="C99" s="184">
        <f>SUM(C100:C104)</f>
        <v>2125.6</v>
      </c>
      <c r="D99" s="184">
        <f>SUM(D100:D104)</f>
        <v>1770.2</v>
      </c>
      <c r="E99" s="201">
        <f>SUM(E100:E104)</f>
        <v>1215</v>
      </c>
      <c r="F99" s="196">
        <f>SUM(C99:E99)/3</f>
        <v>1703.6000000000001</v>
      </c>
      <c r="G99" s="201">
        <f>SUM(G100:G104)</f>
        <v>2125.6</v>
      </c>
      <c r="H99" s="201">
        <f>SUM(H100:H104)</f>
        <v>1770.2</v>
      </c>
      <c r="I99" s="201">
        <f>SUM(I100:I104)</f>
        <v>1215</v>
      </c>
      <c r="J99" s="196">
        <f>SUM(G99:I99)/3</f>
        <v>1703.6000000000001</v>
      </c>
      <c r="K99" s="201">
        <f>SUM(K100:K104)</f>
        <v>44895</v>
      </c>
      <c r="L99" s="201">
        <f>SUM(L100:L104)</f>
        <v>17784.75838</v>
      </c>
      <c r="M99" s="201">
        <f>SUM(M100:M104)</f>
        <v>13142.7975</v>
      </c>
      <c r="N99" s="196">
        <f>SUM(K99:M99)/3</f>
        <v>25274.185293333332</v>
      </c>
      <c r="O99" s="190">
        <f t="shared" si="16"/>
        <v>14835.75093527432</v>
      </c>
      <c r="P99" s="154">
        <f t="shared" si="17"/>
        <v>14835.75093527432</v>
      </c>
      <c r="Q99" s="146">
        <f>1595*Z7</f>
        <v>10957.65</v>
      </c>
      <c r="R99" s="146">
        <v>8031.4</v>
      </c>
      <c r="S99" s="147"/>
      <c r="T99" s="147"/>
      <c r="U99" s="146">
        <f>'[1]Приложение 9 СТС'!$AH$104*Z7</f>
        <v>13207.843328401701</v>
      </c>
      <c r="V99" s="146">
        <f>'[1]Приложение 6 (кальк) '!$F$125</f>
        <v>13207.843328401703</v>
      </c>
      <c r="W99" s="147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</row>
    <row r="100" spans="1:44" ht="15">
      <c r="A100" s="173" t="s">
        <v>290</v>
      </c>
      <c r="B100" s="164"/>
      <c r="C100" s="164"/>
      <c r="D100" s="164"/>
      <c r="E100" s="195"/>
      <c r="F100" s="200"/>
      <c r="G100" s="195"/>
      <c r="H100" s="195"/>
      <c r="I100" s="195"/>
      <c r="J100" s="200"/>
      <c r="K100" s="195"/>
      <c r="L100" s="195"/>
      <c r="M100" s="195"/>
      <c r="N100" s="200"/>
      <c r="O100" s="191"/>
      <c r="P100" s="150"/>
      <c r="Q100" s="146"/>
      <c r="R100" s="146"/>
      <c r="S100" s="147"/>
      <c r="T100" s="147"/>
      <c r="U100" s="146"/>
      <c r="V100" s="146"/>
      <c r="W100" s="147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</row>
    <row r="101" spans="1:44" ht="15">
      <c r="A101" s="173" t="s">
        <v>289</v>
      </c>
      <c r="B101" s="164"/>
      <c r="C101" s="160">
        <f>'[2]Приложение 1 _3'!Z78</f>
        <v>200</v>
      </c>
      <c r="D101" s="160">
        <f>'[2]Приложение 1 _2'!AC76</f>
        <v>424.2</v>
      </c>
      <c r="E101" s="197">
        <f>'[2]Приложение 1 _1'!V64</f>
        <v>415</v>
      </c>
      <c r="F101" s="200">
        <f t="shared" si="18"/>
        <v>346.40000000000003</v>
      </c>
      <c r="G101" s="197">
        <f>'[2]Приложение 1 _3'!AA78</f>
        <v>200</v>
      </c>
      <c r="H101" s="197">
        <f>'[2]Приложение 1 _2'!AD76</f>
        <v>424.2</v>
      </c>
      <c r="I101" s="197">
        <f>'[2]Приложение 1 _1'!W64</f>
        <v>415</v>
      </c>
      <c r="J101" s="200">
        <f>SUM(G101:I101)/3</f>
        <v>346.40000000000003</v>
      </c>
      <c r="K101" s="197">
        <f>'[2]Приложение 1 _3'!AB78</f>
        <v>2352</v>
      </c>
      <c r="L101" s="197">
        <f>'[2]Приложение 1 _2'!AE76</f>
        <v>2166.24624</v>
      </c>
      <c r="M101" s="197">
        <f>'[2]Приложение 1 _1'!X64</f>
        <v>1687.45784</v>
      </c>
      <c r="N101" s="200">
        <f>SUM(K101:M101)/3</f>
        <v>2068.568026666667</v>
      </c>
      <c r="O101" s="191">
        <f t="shared" si="16"/>
        <v>5971.616705157814</v>
      </c>
      <c r="P101" s="150">
        <f t="shared" si="17"/>
        <v>5971.616705157814</v>
      </c>
      <c r="Q101" s="146"/>
      <c r="R101" s="146"/>
      <c r="S101" s="147"/>
      <c r="T101" s="147"/>
      <c r="U101" s="146"/>
      <c r="V101" s="146"/>
      <c r="W101" s="147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</row>
    <row r="102" spans="1:44" ht="15">
      <c r="A102" s="164" t="s">
        <v>287</v>
      </c>
      <c r="B102" s="164"/>
      <c r="C102" s="160">
        <f>'[2]Приложение 1 _3'!Z79</f>
        <v>250</v>
      </c>
      <c r="D102" s="160">
        <f>'[2]Приложение 1 _2'!AC77</f>
        <v>500</v>
      </c>
      <c r="E102" s="197">
        <f>'[2]Приложение 1 _1'!V65</f>
        <v>178</v>
      </c>
      <c r="F102" s="200">
        <f>SUM(C102:E102)/3</f>
        <v>309.3333333333333</v>
      </c>
      <c r="G102" s="197">
        <f>'[2]Приложение 1 _3'!AA79</f>
        <v>250</v>
      </c>
      <c r="H102" s="197">
        <f>'[2]Приложение 1 _2'!AD77</f>
        <v>500</v>
      </c>
      <c r="I102" s="197">
        <f>'[2]Приложение 1 _1'!W65</f>
        <v>178</v>
      </c>
      <c r="J102" s="200">
        <f>SUM(G102:I102)/3</f>
        <v>309.3333333333333</v>
      </c>
      <c r="K102" s="197">
        <f>'[2]Приложение 1 _3'!AB79</f>
        <v>437</v>
      </c>
      <c r="L102" s="197">
        <f>'[2]Приложение 1 _2'!AE77</f>
        <v>4031.45505</v>
      </c>
      <c r="M102" s="197">
        <f>'[2]Приложение 1 _1'!X65</f>
        <v>5395.90545</v>
      </c>
      <c r="N102" s="200">
        <f>SUM(K102:M102)/3</f>
        <v>3288.120166666667</v>
      </c>
      <c r="O102" s="191">
        <f t="shared" si="16"/>
        <v>10629.698814655174</v>
      </c>
      <c r="P102" s="150">
        <f t="shared" si="17"/>
        <v>10629.698814655174</v>
      </c>
      <c r="Q102" s="146"/>
      <c r="R102" s="146"/>
      <c r="S102" s="147"/>
      <c r="T102" s="147"/>
      <c r="U102" s="146"/>
      <c r="V102" s="146"/>
      <c r="W102" s="147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</row>
    <row r="103" spans="1:44" ht="15">
      <c r="A103" s="188" t="s">
        <v>292</v>
      </c>
      <c r="B103" s="164"/>
      <c r="C103" s="160">
        <f>'[2]Приложение 1 _3'!Z80</f>
        <v>825.6</v>
      </c>
      <c r="D103" s="160">
        <f>'[2]Приложение 1 _2'!AC78</f>
        <v>846</v>
      </c>
      <c r="E103" s="197">
        <f>'[2]Приложение 1 _1'!V66</f>
        <v>622</v>
      </c>
      <c r="F103" s="200">
        <f>SUM(C103:E103)/3</f>
        <v>764.5333333333333</v>
      </c>
      <c r="G103" s="197">
        <f>'[2]Приложение 1 _3'!AA80</f>
        <v>825.6</v>
      </c>
      <c r="H103" s="197">
        <f>'[2]Приложение 1 _2'!AD78</f>
        <v>846</v>
      </c>
      <c r="I103" s="197">
        <f>'[2]Приложение 1 _1'!W66</f>
        <v>622</v>
      </c>
      <c r="J103" s="200">
        <f>SUM(G103:I103)/3</f>
        <v>764.5333333333333</v>
      </c>
      <c r="K103" s="197">
        <f>'[2]Приложение 1 _3'!AB80</f>
        <v>28947</v>
      </c>
      <c r="L103" s="197">
        <f>'[2]Приложение 1 _2'!AE78</f>
        <v>11587.05709</v>
      </c>
      <c r="M103" s="197">
        <f>'[2]Приложение 1 _1'!X66</f>
        <v>6059.43421</v>
      </c>
      <c r="N103" s="200">
        <f>SUM(K103:M103)/3</f>
        <v>15531.163766666667</v>
      </c>
      <c r="O103" s="191">
        <f t="shared" si="16"/>
        <v>20314.567186955006</v>
      </c>
      <c r="P103" s="150">
        <f t="shared" si="17"/>
        <v>20314.567186955006</v>
      </c>
      <c r="Q103" s="146"/>
      <c r="R103" s="146"/>
      <c r="S103" s="147"/>
      <c r="T103" s="147"/>
      <c r="U103" s="146"/>
      <c r="V103" s="146"/>
      <c r="W103" s="147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</row>
    <row r="104" spans="1:44" ht="15">
      <c r="A104" s="188" t="s">
        <v>293</v>
      </c>
      <c r="B104" s="164"/>
      <c r="C104" s="160">
        <f>'[2]Приложение 1 _3'!Z81</f>
        <v>850</v>
      </c>
      <c r="D104" s="160"/>
      <c r="E104" s="197">
        <f>'[2]Приложение 1 _1'!V67</f>
        <v>0</v>
      </c>
      <c r="F104" s="200">
        <f>SUM(C104:E104)/1</f>
        <v>850</v>
      </c>
      <c r="G104" s="197">
        <f>'[2]Приложение 1 _3'!AA81</f>
        <v>850</v>
      </c>
      <c r="H104" s="197"/>
      <c r="I104" s="197">
        <f>'[2]Приложение 1 _1'!W67</f>
        <v>0</v>
      </c>
      <c r="J104" s="200">
        <f>SUM(G104:I104)/1</f>
        <v>850</v>
      </c>
      <c r="K104" s="197">
        <f>'[2]Приложение 1 _3'!AB81</f>
        <v>13159</v>
      </c>
      <c r="L104" s="197"/>
      <c r="M104" s="197">
        <f>'[2]Приложение 1 _1'!X67</f>
        <v>0</v>
      </c>
      <c r="N104" s="200">
        <f>SUM(K104:M104)/1</f>
        <v>13159</v>
      </c>
      <c r="O104" s="191"/>
      <c r="P104" s="150">
        <f t="shared" si="17"/>
        <v>15481.176470588234</v>
      </c>
      <c r="Q104" s="146"/>
      <c r="R104" s="146"/>
      <c r="S104" s="147"/>
      <c r="T104" s="147"/>
      <c r="U104" s="146"/>
      <c r="V104" s="146"/>
      <c r="W104" s="147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</row>
    <row r="105" spans="1:44" ht="24.75" customHeight="1">
      <c r="A105" s="171" t="s">
        <v>285</v>
      </c>
      <c r="B105" s="164"/>
      <c r="C105" s="183">
        <f>C106</f>
        <v>0</v>
      </c>
      <c r="D105" s="183">
        <f>D106</f>
        <v>2000</v>
      </c>
      <c r="E105" s="196">
        <f>E106</f>
        <v>2550</v>
      </c>
      <c r="F105" s="196">
        <f>SUM(C105:E105)/2</f>
        <v>2275</v>
      </c>
      <c r="G105" s="196">
        <f>G106</f>
        <v>0</v>
      </c>
      <c r="H105" s="196">
        <f>H106</f>
        <v>2000</v>
      </c>
      <c r="I105" s="196">
        <f>I106</f>
        <v>2550</v>
      </c>
      <c r="J105" s="196">
        <f>SUM(G105:I105)/2</f>
        <v>2275</v>
      </c>
      <c r="K105" s="196">
        <f>K106</f>
        <v>0</v>
      </c>
      <c r="L105" s="196">
        <f>L106</f>
        <v>19676.3937</v>
      </c>
      <c r="M105" s="196">
        <f>M106</f>
        <v>32404.55843</v>
      </c>
      <c r="N105" s="196">
        <f>SUM(K105:M105)/2</f>
        <v>26040.476065000003</v>
      </c>
      <c r="O105" s="190">
        <f>N105/F105*1000</f>
        <v>11446.363105494507</v>
      </c>
      <c r="P105" s="154">
        <f t="shared" si="17"/>
        <v>11446.363105494507</v>
      </c>
      <c r="Q105" s="146">
        <f>350*Z7</f>
        <v>2404.5</v>
      </c>
      <c r="R105" s="146">
        <v>713.9</v>
      </c>
      <c r="S105" s="147"/>
      <c r="T105" s="147"/>
      <c r="U105" s="146">
        <f>'[1]Приложение 9 СТС'!$AH$105*Z7</f>
        <v>8711.887112218239</v>
      </c>
      <c r="V105" s="146">
        <f>'[1]Приложение 6 (кальк) '!$F$126</f>
        <v>8711.887112218239</v>
      </c>
      <c r="W105" s="147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</row>
    <row r="106" spans="1:44" ht="15">
      <c r="A106" s="188" t="s">
        <v>293</v>
      </c>
      <c r="B106" s="164"/>
      <c r="C106" s="164"/>
      <c r="D106" s="160">
        <f>'[2]Приложение 1 _2'!AD81</f>
        <v>2000</v>
      </c>
      <c r="E106" s="197">
        <f>'[2]Приложение 1 _1'!V70</f>
        <v>2550</v>
      </c>
      <c r="F106" s="197">
        <f>SUM(C106:E106)/2</f>
        <v>2275</v>
      </c>
      <c r="G106" s="195"/>
      <c r="H106" s="197">
        <f>'[2]Приложение 1 _2'!AD81</f>
        <v>2000</v>
      </c>
      <c r="I106" s="197">
        <f>'[2]Приложение 1 _1'!W70</f>
        <v>2550</v>
      </c>
      <c r="J106" s="197">
        <f>SUM(G106:I106)/2</f>
        <v>2275</v>
      </c>
      <c r="K106" s="195"/>
      <c r="L106" s="197">
        <f>'[2]Приложение 1 _2'!AE81</f>
        <v>19676.3937</v>
      </c>
      <c r="M106" s="197">
        <f>'[2]Приложение 1 _1'!X70</f>
        <v>32404.55843</v>
      </c>
      <c r="N106" s="197">
        <f>SUM(K106:M106)/2</f>
        <v>26040.476065000003</v>
      </c>
      <c r="O106" s="191">
        <f>N106/F106*1000</f>
        <v>11446.363105494507</v>
      </c>
      <c r="P106" s="150">
        <f t="shared" si="17"/>
        <v>11446.363105494507</v>
      </c>
      <c r="Q106" s="146"/>
      <c r="R106" s="146"/>
      <c r="S106" s="147"/>
      <c r="T106" s="147"/>
      <c r="U106" s="146"/>
      <c r="V106" s="146"/>
      <c r="W106" s="147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</row>
    <row r="107" spans="1:44" ht="15">
      <c r="A107" s="165"/>
      <c r="B107" s="165"/>
      <c r="C107" s="165"/>
      <c r="D107" s="165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</row>
    <row r="108" spans="1:44" ht="15">
      <c r="A108" s="165"/>
      <c r="B108" s="165"/>
      <c r="C108" s="165"/>
      <c r="D108" s="165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</row>
    <row r="109" spans="1:44" ht="15">
      <c r="A109" s="165"/>
      <c r="B109" s="165"/>
      <c r="C109" s="165"/>
      <c r="D109" s="165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</row>
    <row r="110" spans="1:44" ht="15">
      <c r="A110" s="165"/>
      <c r="B110" s="165"/>
      <c r="C110" s="165"/>
      <c r="D110" s="165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</row>
    <row r="111" spans="1:44" ht="15">
      <c r="A111" s="165"/>
      <c r="B111" s="165"/>
      <c r="C111" s="165"/>
      <c r="D111" s="165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</row>
    <row r="112" spans="1:44" ht="15">
      <c r="A112" s="165"/>
      <c r="B112" s="165"/>
      <c r="C112" s="165"/>
      <c r="D112" s="165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</row>
    <row r="113" spans="1:44" ht="15">
      <c r="A113" s="165"/>
      <c r="B113" s="165"/>
      <c r="C113" s="165"/>
      <c r="D113" s="165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</row>
    <row r="114" spans="1:44" ht="15">
      <c r="A114" s="165"/>
      <c r="B114" s="165"/>
      <c r="C114" s="165"/>
      <c r="D114" s="165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</row>
    <row r="115" spans="1:44" ht="15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</row>
    <row r="116" spans="1:44" ht="15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</row>
    <row r="117" spans="1:44" ht="1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</row>
    <row r="118" spans="1:44" ht="15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</row>
    <row r="119" spans="1:44" ht="15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</row>
    <row r="120" spans="1:44" ht="15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</row>
    <row r="121" spans="1:44" ht="15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</row>
    <row r="122" spans="1:44" ht="15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</row>
    <row r="123" spans="1:44" ht="15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</row>
    <row r="124" spans="1:44" ht="15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</row>
    <row r="125" spans="1:44" ht="15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</row>
    <row r="126" spans="1:44" ht="15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</row>
  </sheetData>
  <sheetProtection/>
  <mergeCells count="31">
    <mergeCell ref="A83:A84"/>
    <mergeCell ref="A70:A71"/>
    <mergeCell ref="A72:A73"/>
    <mergeCell ref="A74:A75"/>
    <mergeCell ref="A77:A78"/>
    <mergeCell ref="A79:A80"/>
    <mergeCell ref="A81:A82"/>
    <mergeCell ref="A53:A54"/>
    <mergeCell ref="A55:A56"/>
    <mergeCell ref="A61:A62"/>
    <mergeCell ref="A63:A64"/>
    <mergeCell ref="A65:A66"/>
    <mergeCell ref="A68:A69"/>
    <mergeCell ref="A40:A41"/>
    <mergeCell ref="A42:A43"/>
    <mergeCell ref="A44:A45"/>
    <mergeCell ref="A46:A47"/>
    <mergeCell ref="A49:A50"/>
    <mergeCell ref="A51:A52"/>
    <mergeCell ref="F9:N9"/>
    <mergeCell ref="C30:E30"/>
    <mergeCell ref="G30:I30"/>
    <mergeCell ref="K30:M30"/>
    <mergeCell ref="Q30:R30"/>
    <mergeCell ref="F33:N33"/>
    <mergeCell ref="F1:L1"/>
    <mergeCell ref="C6:E6"/>
    <mergeCell ref="G6:I6"/>
    <mergeCell ref="K6:M6"/>
    <mergeCell ref="Q6:R6"/>
    <mergeCell ref="U6:V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2017-10-19T09:33:07Z</cp:lastPrinted>
  <dcterms:created xsi:type="dcterms:W3CDTF">2006-07-26T11:25:38Z</dcterms:created>
  <dcterms:modified xsi:type="dcterms:W3CDTF">2017-10-20T12:14:10Z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